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245720C7-4864-47FD-82D8-44263E5D5E29}" xr6:coauthVersionLast="45" xr6:coauthVersionMax="45" xr10:uidLastSave="{00000000-0000-0000-0000-000000000000}"/>
  <bookViews>
    <workbookView xWindow="-120" yWindow="-120" windowWidth="29040" windowHeight="15840" xr2:uid="{00000000-000D-0000-FFFF-FFFF00000000}"/>
  </bookViews>
  <sheets>
    <sheet name="Муниципальный район" sheetId="17" r:id="rId1"/>
  </sheets>
  <definedNames>
    <definedName name="_xlnm._FilterDatabase" localSheetId="0" hidden="1">'Муниципальный район'!$A$1:$S$165</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230" i="17" l="1"/>
  <c r="M247" i="17"/>
  <c r="M222" i="17"/>
  <c r="R270" i="17" l="1"/>
  <c r="R268" i="17"/>
  <c r="R267" i="17" s="1"/>
  <c r="R266" i="17" s="1"/>
  <c r="Q268" i="17"/>
  <c r="P268" i="17"/>
  <c r="O268" i="17"/>
  <c r="O267" i="17" s="1"/>
  <c r="O266" i="17" s="1"/>
  <c r="N268" i="17"/>
  <c r="N267" i="17" s="1"/>
  <c r="N266" i="17" s="1"/>
  <c r="M268" i="17"/>
  <c r="Q267" i="17"/>
  <c r="Q266" i="17" s="1"/>
  <c r="P267" i="17"/>
  <c r="P266" i="17" s="1"/>
  <c r="M267" i="17"/>
  <c r="M266" i="17" s="1"/>
  <c r="R264" i="17"/>
  <c r="Q264" i="17"/>
  <c r="P264" i="17"/>
  <c r="O264" i="17"/>
  <c r="N264" i="17"/>
  <c r="M264" i="17"/>
  <c r="R262" i="17"/>
  <c r="Q262" i="17"/>
  <c r="P262" i="17"/>
  <c r="O262" i="17"/>
  <c r="N262" i="17"/>
  <c r="N261" i="17" s="1"/>
  <c r="M262" i="17"/>
  <c r="M261" i="17" s="1"/>
  <c r="R259" i="17"/>
  <c r="R258" i="17" s="1"/>
  <c r="Q259" i="17"/>
  <c r="Q258" i="17" s="1"/>
  <c r="P259" i="17"/>
  <c r="O259" i="17"/>
  <c r="N259" i="17"/>
  <c r="N258" i="17" s="1"/>
  <c r="M259" i="17"/>
  <c r="M258" i="17" s="1"/>
  <c r="P258" i="17"/>
  <c r="O258" i="17"/>
  <c r="R247" i="17"/>
  <c r="N247" i="17"/>
  <c r="Q247" i="17"/>
  <c r="P247" i="17"/>
  <c r="O247" i="17"/>
  <c r="R230" i="17"/>
  <c r="Q230" i="17"/>
  <c r="P230" i="17"/>
  <c r="O230" i="17"/>
  <c r="N230" i="17"/>
  <c r="R227" i="17"/>
  <c r="Q227" i="17"/>
  <c r="P227" i="17"/>
  <c r="O227" i="17"/>
  <c r="N227" i="17"/>
  <c r="M227" i="17"/>
  <c r="R222" i="17"/>
  <c r="Q222" i="17"/>
  <c r="P222" i="17"/>
  <c r="O222" i="17"/>
  <c r="N222" i="17"/>
  <c r="P261" i="17" l="1"/>
  <c r="R221" i="17"/>
  <c r="R220" i="17" s="1"/>
  <c r="Q261" i="17"/>
  <c r="R261" i="17"/>
  <c r="O261" i="17"/>
  <c r="Q221" i="17"/>
  <c r="Q220" i="17" s="1"/>
  <c r="P221" i="17"/>
  <c r="M221" i="17"/>
  <c r="O221" i="17"/>
  <c r="O220" i="17" s="1"/>
  <c r="N221" i="17"/>
  <c r="N220" i="17" s="1"/>
  <c r="P220" i="17" l="1"/>
  <c r="M220" i="17"/>
  <c r="N186" i="17"/>
  <c r="M186" i="17"/>
  <c r="N183" i="17"/>
  <c r="M183" i="17"/>
  <c r="N185" i="17" l="1"/>
  <c r="M185" i="17"/>
  <c r="N179" i="17"/>
  <c r="M179" i="17"/>
  <c r="R185" i="17" l="1"/>
  <c r="Q185" i="17"/>
  <c r="P185" i="17"/>
  <c r="O185" i="17"/>
  <c r="O171" i="17"/>
  <c r="O169" i="17"/>
  <c r="P171" i="17"/>
  <c r="Q175" i="17"/>
  <c r="P175" i="17"/>
  <c r="O175" i="17"/>
  <c r="R177" i="17"/>
  <c r="Q177" i="17"/>
  <c r="P177" i="17"/>
  <c r="O177" i="17"/>
  <c r="O181" i="17"/>
  <c r="R183" i="17"/>
  <c r="Q183" i="17"/>
  <c r="P183" i="17"/>
  <c r="O183" i="17"/>
  <c r="O186" i="17"/>
  <c r="R201" i="17"/>
  <c r="Q201" i="17"/>
  <c r="P201" i="17"/>
  <c r="O201" i="17"/>
  <c r="O168" i="17" l="1"/>
  <c r="P168" i="17"/>
  <c r="Q168" i="17"/>
  <c r="R168" i="17"/>
  <c r="N177" i="17" l="1"/>
  <c r="M177" i="17" l="1"/>
  <c r="N171" i="17"/>
  <c r="M171" i="17"/>
  <c r="N169" i="17" l="1"/>
  <c r="N168" i="17" s="1"/>
  <c r="M169" i="17"/>
  <c r="M168" i="17" s="1"/>
  <c r="N187" i="17"/>
  <c r="M187" i="17"/>
  <c r="M193" i="17"/>
  <c r="N193" i="17"/>
  <c r="N195" i="17"/>
  <c r="M195" i="17"/>
  <c r="N167" i="17" l="1"/>
  <c r="Q167" i="17"/>
  <c r="O167" i="17"/>
  <c r="P167" i="17"/>
  <c r="R167" i="17"/>
  <c r="N217" i="17"/>
  <c r="N216" i="17" s="1"/>
  <c r="N215" i="17" s="1"/>
  <c r="O217" i="17"/>
  <c r="P217" i="17"/>
  <c r="Q217" i="17"/>
  <c r="Q216" i="17" s="1"/>
  <c r="Q215" i="17" s="1"/>
  <c r="R217" i="17"/>
  <c r="R216" i="17" s="1"/>
  <c r="R215" i="17" s="1"/>
  <c r="O216" i="17"/>
  <c r="O215" i="17" s="1"/>
  <c r="P216" i="17"/>
  <c r="P215" i="17" s="1"/>
  <c r="N213" i="17"/>
  <c r="N210" i="17" s="1"/>
  <c r="O213" i="17"/>
  <c r="P213" i="17"/>
  <c r="Q213" i="17"/>
  <c r="R213" i="17"/>
  <c r="N211" i="17"/>
  <c r="O211" i="17"/>
  <c r="O210" i="17" s="1"/>
  <c r="P211" i="17"/>
  <c r="Q211" i="17"/>
  <c r="Q210" i="17" s="1"/>
  <c r="R211" i="17"/>
  <c r="N208" i="17"/>
  <c r="O208" i="17"/>
  <c r="P208" i="17"/>
  <c r="Q208" i="17"/>
  <c r="R208" i="17"/>
  <c r="N206" i="17"/>
  <c r="N205" i="17" s="1"/>
  <c r="O206" i="17"/>
  <c r="O205" i="17" s="1"/>
  <c r="P206" i="17"/>
  <c r="Q206" i="17"/>
  <c r="Q205" i="17" s="1"/>
  <c r="R206" i="17"/>
  <c r="R205" i="17" s="1"/>
  <c r="N192" i="17"/>
  <c r="O192" i="17"/>
  <c r="P192" i="17"/>
  <c r="Q192" i="17"/>
  <c r="R192" i="17"/>
  <c r="M217" i="17"/>
  <c r="M216" i="17"/>
  <c r="M215" i="17" s="1"/>
  <c r="M213" i="17"/>
  <c r="M211" i="17"/>
  <c r="M208" i="17"/>
  <c r="M206" i="17"/>
  <c r="M205" i="17" s="1"/>
  <c r="M192" i="17"/>
  <c r="M167" i="17"/>
  <c r="P205" i="17" l="1"/>
  <c r="P166" i="17" s="1"/>
  <c r="R210" i="17"/>
  <c r="R166" i="17" s="1"/>
  <c r="P210" i="17"/>
  <c r="O166" i="17"/>
  <c r="Q166" i="17"/>
  <c r="N166" i="17"/>
  <c r="M210" i="17"/>
  <c r="M166" i="17" s="1"/>
  <c r="P106" i="17" l="1"/>
  <c r="Q143" i="17"/>
  <c r="Q146" i="17"/>
  <c r="Q156" i="17"/>
  <c r="R131" i="17"/>
  <c r="Q131" i="17"/>
  <c r="P131" i="17"/>
  <c r="Q92" i="17"/>
  <c r="R92" i="17"/>
  <c r="P92" i="17"/>
  <c r="R117" i="17"/>
  <c r="Q117" i="17"/>
  <c r="P117" i="17"/>
  <c r="R130" i="17"/>
  <c r="Q130" i="17"/>
  <c r="P130" i="17"/>
  <c r="R112" i="17"/>
  <c r="Q112" i="17"/>
  <c r="P112" i="17"/>
  <c r="R106" i="17"/>
  <c r="Q106" i="17"/>
  <c r="R104" i="17"/>
  <c r="Q104" i="17"/>
  <c r="P104" i="17"/>
  <c r="R25" i="17"/>
  <c r="Q25" i="17"/>
  <c r="P25" i="17"/>
  <c r="R116" i="17"/>
  <c r="Q116" i="17"/>
  <c r="P116" i="17"/>
  <c r="R102" i="17"/>
  <c r="Q102" i="17"/>
  <c r="P102" i="17"/>
  <c r="R90" i="17"/>
  <c r="Q90" i="17"/>
  <c r="P90" i="17"/>
  <c r="Q73" i="17"/>
  <c r="P73" i="17"/>
  <c r="R73" i="17"/>
  <c r="R79" i="17"/>
  <c r="Q79" i="17"/>
  <c r="P79" i="17"/>
  <c r="Q77" i="17"/>
  <c r="P77" i="17"/>
  <c r="R136" i="17"/>
  <c r="Q136" i="17"/>
  <c r="P136" i="17"/>
  <c r="Q108" i="17"/>
  <c r="P108" i="17"/>
  <c r="R70" i="17"/>
  <c r="Q70" i="17"/>
  <c r="P70" i="17"/>
  <c r="R67" i="17"/>
  <c r="Q67" i="17"/>
  <c r="P67" i="17"/>
  <c r="R62" i="17"/>
  <c r="Q62" i="17"/>
  <c r="P62" i="17"/>
  <c r="R60" i="17"/>
  <c r="Q60" i="17"/>
  <c r="P60" i="17"/>
  <c r="O60" i="17"/>
  <c r="R59" i="17"/>
  <c r="Q59" i="17"/>
  <c r="P59" i="17"/>
  <c r="R55" i="17"/>
  <c r="Q55" i="17"/>
  <c r="P55" i="17"/>
  <c r="R13" i="17"/>
  <c r="Q13" i="17"/>
  <c r="P13" i="17"/>
  <c r="R119" i="17"/>
  <c r="P119" i="17"/>
  <c r="R123" i="17"/>
  <c r="Q123" i="17"/>
  <c r="P123" i="17"/>
  <c r="Q139" i="17"/>
  <c r="P139" i="17"/>
  <c r="R141" i="17"/>
  <c r="Q141" i="17"/>
  <c r="P141" i="17"/>
  <c r="P142" i="17"/>
  <c r="Q142" i="17"/>
  <c r="R142" i="17"/>
  <c r="R146" i="17"/>
  <c r="P146" i="17"/>
  <c r="R135" i="17"/>
  <c r="Q135" i="17"/>
  <c r="P135" i="17"/>
  <c r="Q128" i="17"/>
  <c r="P128" i="17"/>
  <c r="P143" i="17"/>
  <c r="Q165" i="17"/>
  <c r="P165" i="17"/>
  <c r="R47" i="17" l="1"/>
  <c r="R52" i="17"/>
  <c r="Q52" i="17"/>
  <c r="P52" i="17"/>
  <c r="Q47" i="17"/>
  <c r="P47" i="17"/>
  <c r="P44" i="17"/>
  <c r="R41" i="17"/>
  <c r="Q41" i="17"/>
  <c r="P41" i="17"/>
  <c r="R32" i="17"/>
  <c r="Q32" i="17"/>
  <c r="P32" i="17"/>
  <c r="R30" i="17"/>
  <c r="Q30" i="17"/>
  <c r="P30" i="17"/>
  <c r="R19" i="17"/>
  <c r="Q19" i="17"/>
  <c r="P19" i="17"/>
  <c r="R18" i="17"/>
  <c r="Q18" i="17"/>
  <c r="P18" i="17"/>
  <c r="Q16" i="17"/>
  <c r="P16" i="17"/>
  <c r="Q86" i="17" l="1"/>
  <c r="P86" i="17"/>
  <c r="O41" i="17"/>
  <c r="O25" i="17"/>
  <c r="O19" i="17"/>
  <c r="O92" i="17"/>
  <c r="O73" i="17"/>
  <c r="O70" i="17" l="1"/>
  <c r="O52" i="17"/>
  <c r="O47" i="17"/>
  <c r="O156" i="17"/>
  <c r="P156" i="17"/>
  <c r="R156" i="17"/>
  <c r="O96" i="17"/>
  <c r="P12" i="17"/>
  <c r="Q12" i="17"/>
  <c r="R12" i="17"/>
  <c r="O136" i="17" l="1"/>
  <c r="P122" i="17"/>
  <c r="Q122" i="17"/>
  <c r="R122" i="17"/>
  <c r="O130" i="17"/>
  <c r="P127" i="17"/>
  <c r="Q127" i="17"/>
  <c r="R127" i="17"/>
  <c r="O44" i="17"/>
  <c r="O30" i="17"/>
  <c r="O149" i="17"/>
  <c r="Q148" i="17"/>
  <c r="P148" i="17"/>
  <c r="O148" i="17"/>
  <c r="R121" i="17" l="1"/>
  <c r="Q121" i="17"/>
  <c r="P121" i="17"/>
  <c r="O145" i="17"/>
  <c r="O144" i="17"/>
  <c r="O143" i="17"/>
  <c r="O142" i="17"/>
  <c r="O141" i="17"/>
  <c r="O139" i="17"/>
  <c r="O131" i="17"/>
  <c r="O135" i="17"/>
  <c r="O128" i="17"/>
  <c r="O123" i="17"/>
  <c r="O122" i="17" s="1"/>
  <c r="O119" i="17"/>
  <c r="O116" i="17"/>
  <c r="O112" i="17"/>
  <c r="O108" i="17"/>
  <c r="O106" i="17"/>
  <c r="O79" i="17"/>
  <c r="O67" i="17"/>
  <c r="O62" i="17"/>
  <c r="O55" i="17"/>
  <c r="O86" i="17"/>
  <c r="O127" i="17" l="1"/>
  <c r="O121" i="17" s="1"/>
  <c r="O32" i="17"/>
  <c r="O18" i="17"/>
  <c r="O13" i="17"/>
  <c r="N44" i="17"/>
  <c r="N83" i="17"/>
  <c r="M83" i="17"/>
  <c r="N25" i="17"/>
  <c r="M25" i="17"/>
  <c r="N30" i="17"/>
  <c r="M30" i="17"/>
  <c r="N92" i="17"/>
  <c r="M92" i="17"/>
  <c r="N96" i="17"/>
  <c r="M96" i="17"/>
  <c r="O82" i="17"/>
  <c r="P82" i="17"/>
  <c r="Q82" i="17"/>
  <c r="R82" i="17"/>
  <c r="N19" i="17"/>
  <c r="M19" i="17"/>
  <c r="O12" i="17" l="1"/>
  <c r="N32" i="17"/>
  <c r="M32" i="17"/>
  <c r="N52" i="17"/>
  <c r="M52" i="17"/>
  <c r="N47" i="17"/>
  <c r="M47" i="17"/>
  <c r="N112" i="17" l="1"/>
  <c r="M112" i="17"/>
  <c r="N160" i="17"/>
  <c r="M160" i="17"/>
  <c r="N16" i="17"/>
  <c r="M16" i="17"/>
  <c r="N73" i="17"/>
  <c r="M73" i="17"/>
  <c r="N79" i="17"/>
  <c r="M79" i="17"/>
  <c r="N163" i="17"/>
  <c r="M163" i="17"/>
  <c r="N116" i="17"/>
  <c r="M116" i="17"/>
  <c r="N70" i="17"/>
  <c r="M70" i="17"/>
  <c r="N41" i="17"/>
  <c r="M41" i="17"/>
  <c r="N86" i="17"/>
  <c r="M86" i="17"/>
  <c r="N119" i="17"/>
  <c r="M119" i="17"/>
  <c r="M136" i="17"/>
  <c r="N142" i="17"/>
  <c r="M142" i="17"/>
  <c r="N135" i="17"/>
  <c r="M135" i="17"/>
  <c r="N144" i="17"/>
  <c r="M144" i="17"/>
  <c r="N141" i="17"/>
  <c r="M141" i="17"/>
  <c r="N139" i="17"/>
  <c r="M139" i="17"/>
  <c r="N131" i="17"/>
  <c r="M131" i="17"/>
  <c r="N13" i="17"/>
  <c r="M13" i="17"/>
  <c r="N90" i="17" l="1"/>
  <c r="M90" i="17"/>
  <c r="R111" i="17"/>
  <c r="R114" i="17"/>
  <c r="R118" i="17"/>
  <c r="N147" i="17"/>
  <c r="O147" i="17"/>
  <c r="P147" i="17"/>
  <c r="Q147" i="17"/>
  <c r="R147" i="17"/>
  <c r="O155" i="17"/>
  <c r="P155" i="17"/>
  <c r="Q155" i="17"/>
  <c r="R155" i="17"/>
  <c r="O76" i="17"/>
  <c r="P76" i="17"/>
  <c r="Q76" i="17"/>
  <c r="R76" i="17"/>
  <c r="N77" i="17"/>
  <c r="M77" i="17"/>
  <c r="M76" i="17" s="1"/>
  <c r="R110" i="17" l="1"/>
  <c r="N146" i="17"/>
  <c r="M146" i="17"/>
  <c r="N161" i="17"/>
  <c r="M161" i="17"/>
  <c r="M159" i="17" l="1"/>
  <c r="N158" i="17"/>
  <c r="M158" i="17"/>
  <c r="N154" i="17"/>
  <c r="M154" i="17"/>
  <c r="M156" i="17" l="1"/>
  <c r="N156" i="17"/>
  <c r="N155" i="17" s="1"/>
  <c r="M149" i="17"/>
  <c r="M148" i="17"/>
  <c r="M143" i="17"/>
  <c r="N128" i="17" l="1"/>
  <c r="N127" i="17" s="1"/>
  <c r="M128" i="17"/>
  <c r="M127" i="17" s="1"/>
  <c r="N123" i="17" l="1"/>
  <c r="N122" i="17" s="1"/>
  <c r="N121" i="17" s="1"/>
  <c r="M123" i="17"/>
  <c r="M122" i="17" s="1"/>
  <c r="M121" i="17" s="1"/>
  <c r="N108" i="17"/>
  <c r="M108" i="17"/>
  <c r="N106" i="17"/>
  <c r="M106" i="17"/>
  <c r="N104" i="17"/>
  <c r="M104" i="17"/>
  <c r="N102" i="17"/>
  <c r="M102" i="17"/>
  <c r="N100" i="17"/>
  <c r="M100" i="17"/>
  <c r="N67" i="17"/>
  <c r="M67" i="17"/>
  <c r="N62" i="17"/>
  <c r="M62" i="17"/>
  <c r="N60" i="17"/>
  <c r="M60" i="17"/>
  <c r="N82" i="17" l="1"/>
  <c r="M82" i="17"/>
  <c r="N55" i="17"/>
  <c r="M55" i="17"/>
  <c r="M44" i="17"/>
  <c r="P11" i="17" l="1"/>
  <c r="Q11" i="17"/>
  <c r="R11" i="17"/>
  <c r="N153" i="17"/>
  <c r="N151" i="17" s="1"/>
  <c r="O153" i="17"/>
  <c r="O151" i="17" s="1"/>
  <c r="P153" i="17"/>
  <c r="P151" i="17" s="1"/>
  <c r="Q153" i="17"/>
  <c r="Q151" i="17" s="1"/>
  <c r="R153" i="17"/>
  <c r="R151" i="17" s="1"/>
  <c r="R10" i="17" l="1"/>
  <c r="N18" i="17"/>
  <c r="N12" i="17" s="1"/>
  <c r="M18" i="17"/>
  <c r="M12" i="17" s="1"/>
  <c r="Q118" i="17" l="1"/>
  <c r="Q114" i="17"/>
  <c r="Q111" i="17"/>
  <c r="Q110" i="17" l="1"/>
  <c r="Q10" i="17" s="1"/>
  <c r="N114" i="17" l="1"/>
  <c r="O114" i="17"/>
  <c r="P114" i="17"/>
  <c r="M114" i="17"/>
  <c r="M155" i="17"/>
  <c r="N76" i="17" l="1"/>
  <c r="M147" i="17" l="1"/>
  <c r="M153" i="17"/>
  <c r="M151" i="17" s="1"/>
  <c r="P118" i="17" l="1"/>
  <c r="O118" i="17"/>
  <c r="N118" i="17"/>
  <c r="M118" i="17"/>
  <c r="P111" i="17"/>
  <c r="O111" i="17"/>
  <c r="N111" i="17"/>
  <c r="M111" i="17"/>
  <c r="O110" i="17" l="1"/>
  <c r="O11" i="17"/>
  <c r="M11" i="17"/>
  <c r="N11" i="17"/>
  <c r="N110" i="17"/>
  <c r="M110" i="17"/>
  <c r="P110" i="17"/>
  <c r="P10" i="17" s="1"/>
  <c r="M10" i="17" l="1"/>
  <c r="O10" i="17"/>
  <c r="N10" i="17"/>
</calcChain>
</file>

<file path=xl/sharedStrings.xml><?xml version="1.0" encoding="utf-8"?>
<sst xmlns="http://schemas.openxmlformats.org/spreadsheetml/2006/main" count="2944" uniqueCount="727">
  <si>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</si>
  <si>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</si>
  <si>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</si>
  <si>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</si>
  <si>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</si>
  <si>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</si>
  <si>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</si>
  <si>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</si>
  <si>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</si>
  <si>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</si>
  <si>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</si>
  <si>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</si>
  <si>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</si>
  <si>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</si>
  <si>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</si>
  <si>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</si>
  <si>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</si>
  <si>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</si>
  <si>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</si>
  <si>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Расходные обязательства, возникшие в результате принятия нормативных правовых актов муниципального района, заключения договоров (соглашений), всего из них:</t>
  </si>
  <si>
    <t>1.</t>
  </si>
  <si>
    <t>0102|0104|0105|0106|0107|0111|0113|0304|0309|0314|0405|0409|0412|0501|0502|0503|0603|0701|0702|0703|0705|0707|0709|0801|0804|1001|1003|1004|1006|1101|1202|1301|1401|1403|9999|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</si>
  <si>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</si>
  <si>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1.1.</t>
  </si>
  <si>
    <t>0106|0113|0309|0405|0409|0412|0501|0502|0701|0702|0703|0707|0709|0801|0804|1003|1006|1101|</t>
  </si>
  <si>
    <t>по перечню, предусмотренному частью 1 статьи 15 и частью 4 статьи 14 Федерального закона от 6 октября 2003 г. № 131-ФЗ «Об общих принципах организации местного самоуправления в Российской Федерации», всего</t>
  </si>
  <si>
    <t>1.1.1.</t>
  </si>
  <si>
    <t>0113|0309|0405|0409|0412|0501|0701|0702|0703|0707|0709|0801|0804|1003|1006|1101|</t>
  </si>
  <si>
    <t>владение, пользование и распоряжение имуществом, находящимся в муниципальной собственности муниципального района</t>
  </si>
  <si>
    <t>1.1.1.3.</t>
  </si>
  <si>
    <t>Федеральный закон № 131-ФЗ Об общих принципах организации местного самоуправления в Российской Федерации от 06.10.2003</t>
  </si>
  <si>
    <t>ст.15 ч.1 п.3</t>
  </si>
  <si>
    <t>01.01.2006 - 01.01.2099</t>
  </si>
  <si>
    <t>Постановление Правительства РФ № 584 Об утверждении Положения о проведении конкурса по продаже государственного или муниципального имущества от 12.08.2002</t>
  </si>
  <si>
    <t>в целом</t>
  </si>
  <si>
    <t>28.08.2002 - 01.01.2099</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</si>
  <si>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</si>
  <si>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</si>
  <si>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</si>
  <si>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</si>
  <si>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</si>
  <si>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1.1.1.5.</t>
  </si>
  <si>
    <t>ст.13</t>
  </si>
  <si>
    <t>14.11.2007 - 01.01.2099</t>
  </si>
  <si>
    <t>0409|</t>
  </si>
  <si>
    <t>ст.15 ч.1 п.5</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</si>
  <si>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</si>
  <si>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1.1.1.12.</t>
  </si>
  <si>
    <t>ст.15 ч.1 п. 6.2</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</si>
  <si>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</si>
  <si>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1.1.1.17.</t>
  </si>
  <si>
    <t>Федеральный закон № 273-ФЗ Об образовании в Российской Федерации от 29.12.2012</t>
  </si>
  <si>
    <t>ст.9 ч.1</t>
  </si>
  <si>
    <t>01.09.2013 - 01.01.2099</t>
  </si>
  <si>
    <t>0701|</t>
  </si>
  <si>
    <t>ст.15 ч.1 п.11</t>
  </si>
  <si>
    <t>Постановление Правительства РФ № 1642 Об утверждении государственной программы Российской Федерации "Развитие образования" от 26.12.2017</t>
  </si>
  <si>
    <t>01.01.2018 - 31.12.2025</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</si>
  <si>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</si>
  <si>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1.1.1.18.</t>
  </si>
  <si>
    <t>0702|</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</si>
  <si>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</si>
  <si>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1.1.1.19.</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</si>
  <si>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</si>
  <si>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1.1.1.20.</t>
  </si>
  <si>
    <t>0703|</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</si>
  <si>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</si>
  <si>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1.1.1.21.</t>
  </si>
  <si>
    <t>0707|</t>
  </si>
  <si>
    <t>Федеральный закон № 124-ФЗ Об основных гарантиях прав ребенка в Российской Федерации от 24.07.1998</t>
  </si>
  <si>
    <t>ст. 12.1 п.3</t>
  </si>
  <si>
    <t>05.08.1998 - 01.01.2099</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</si>
  <si>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</si>
  <si>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1.1.1.22.</t>
  </si>
  <si>
    <t>формирование и содержание муниципального архива, включая хранение архивных фондов поселений</t>
  </si>
  <si>
    <t>1.1.1.27.</t>
  </si>
  <si>
    <t>Федеральный закон № 125-ФЗ Об архивном деле в Российской Федерации от 22.10.2004</t>
  </si>
  <si>
    <t>ст.4 ч.3</t>
  </si>
  <si>
    <t>27.10.2004 - 01.01.2099</t>
  </si>
  <si>
    <t>ст.15 ч.1 п.16</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</si>
  <si>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</si>
  <si>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1.1.1.31.</t>
  </si>
  <si>
    <t>Закон РФ № 3612-1 Основы законодательства Российской Федерации о культуре от 09.10.1992</t>
  </si>
  <si>
    <t>ст.40 ч.3 абз.2</t>
  </si>
  <si>
    <t>17.11.1992 - 01.01.2099</t>
  </si>
  <si>
    <t>0801|0804|</t>
  </si>
  <si>
    <t>Федеральный закон № 78-ФЗ О библиотечном деле от 29.12.1994</t>
  </si>
  <si>
    <t>ст.15 п.2</t>
  </si>
  <si>
    <t>02.01.1995 - 01.01.2099</t>
  </si>
  <si>
    <t>ст.15 ч.1 п.19</t>
  </si>
  <si>
    <t>Постановление Правительства РФ № 317 Об утверждении государственной программы Российской Федерации "Развитие культуры и туризма" от 15.04.2014</t>
  </si>
  <si>
    <t>02.05.2014 - 31.12.2024</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</si>
  <si>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</si>
  <si>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1.1.1.32.</t>
  </si>
  <si>
    <t>ст.40 ч.3 абз.3</t>
  </si>
  <si>
    <t>ст.15 ч.1 п. 19.1</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</si>
  <si>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</si>
  <si>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1.1.1.35.</t>
  </si>
  <si>
    <t>Федеральный закон № 68-ФЗ О защите населения и территорий от чрезвычайных ситуаций природного и техногенного характера от 21.12.1994</t>
  </si>
  <si>
    <t>ст.11 п.2</t>
  </si>
  <si>
    <t>24.12.1994 - 01.01.2099</t>
  </si>
  <si>
    <t>Постановление Правительства РФ № 794 О единой государственной системе предупреждения и ликвидации чрезвычайных ситуаций от 30.12.2003</t>
  </si>
  <si>
    <t>п.34</t>
  </si>
  <si>
    <t>28.01.2004 - 01.01.2099</t>
  </si>
  <si>
    <t>Федеральный закон № 28-ФЗ О гражданской обороне от 12.02.1998</t>
  </si>
  <si>
    <t>ст.8 п.2</t>
  </si>
  <si>
    <t>19.02.1998 - 01.01.2099</t>
  </si>
  <si>
    <t>ст.15 ч.1 п.21</t>
  </si>
  <si>
    <t>ст.15 ч.1 п.25</t>
  </si>
  <si>
    <t>0405|</t>
  </si>
  <si>
    <t>содействие развитию малого и среднего предпринимательства</t>
  </si>
  <si>
    <t>1.1.1.42.</t>
  </si>
  <si>
    <t>Федеральный закон № 209-ФЗ О развитии малого и среднего предпринимательства в Российской Федерации от 24.07.2007</t>
  </si>
  <si>
    <t>ст.11</t>
  </si>
  <si>
    <t>01.01.2008 - 01.01.2099</t>
  </si>
  <si>
    <t>0412|</t>
  </si>
  <si>
    <t>оказание поддержки социально ориентированным некоммерческим организациям, благотворительной деятельности и добровольчеству</t>
  </si>
  <si>
    <t>1.1.1.43.</t>
  </si>
  <si>
    <t>Федеральный закон № 7-ФЗ О некоммерческих организациях от 12.01.1996</t>
  </si>
  <si>
    <t>ст. 31.1 п.1</t>
  </si>
  <si>
    <t>24.01.1996 - 01.01.2099</t>
  </si>
  <si>
    <t>1006|</t>
  </si>
  <si>
    <t>ст. 31.3 п.3</t>
  </si>
  <si>
    <t>Федеральный закон № 135-ФЗ О благотворительной деятельности и добровольчестве (волонтерстве) от 11.08.1995</t>
  </si>
  <si>
    <t>ст. 17.4</t>
  </si>
  <si>
    <t>не установлено</t>
  </si>
  <si>
    <t>ст. 17.3 п.4</t>
  </si>
  <si>
    <t>организация проведения официальных физкультурно-оздоровительных и спортивных мероприятий муниципального района</t>
  </si>
  <si>
    <t>1.1.1.45.</t>
  </si>
  <si>
    <t>Федеральный закон № 329-ФЗ О физической культуре и спорте в Российской Федерации от 04.12.2007</t>
  </si>
  <si>
    <t>ст.38 ч.4</t>
  </si>
  <si>
    <t>30.03.2008 - 01.01.2099</t>
  </si>
  <si>
    <t>1101|</t>
  </si>
  <si>
    <t>ст.9 ч.1 п.3</t>
  </si>
  <si>
    <t>ст.15 ч.1 п.26</t>
  </si>
  <si>
    <t>организация и осуществление мероприятий межпоселенческого характера по работе с детьми и молодежью</t>
  </si>
  <si>
    <t>1.1.1.46.</t>
  </si>
  <si>
    <t>ст.15 ч.1 п.27</t>
  </si>
  <si>
    <t>0707|0709|</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</si>
  <si>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</si>
  <si>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1.1.1.57.</t>
  </si>
  <si>
    <t>Федеральный закон № 188-ФЗ Жилищный кодекс Российской Федерации от 29.12.2004</t>
  </si>
  <si>
    <t>ст.14 ч.1</t>
  </si>
  <si>
    <t>01.03.2005 - 01.01.2099</t>
  </si>
  <si>
    <t>0501|1003|</t>
  </si>
  <si>
    <t>ст.14 ч.1 п.6</t>
  </si>
  <si>
    <t>Постановление Правительства РФ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 от 30.12.2017</t>
  </si>
  <si>
    <t>1003|</t>
  </si>
  <si>
    <t>Указ Президента РФ № 600 О мерах по обеспечению граждан Российской Федерации доступным и комфортным жильем и повышению качества жилищно-коммунальных услуг от 07.05.2012</t>
  </si>
  <si>
    <t>07.05.2012 - 01.01.2099</t>
  </si>
  <si>
    <t>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</si>
  <si>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1.1.2.</t>
  </si>
  <si>
    <t>составление и рассмотрение проекта бюджета поселения, исполнение бюджета поселения, составление отчета об исполнении бюджета поселения</t>
  </si>
  <si>
    <t>1.1.2.1.</t>
  </si>
  <si>
    <t>ст.14 ч.1 п.1</t>
  </si>
  <si>
    <t>0106|</t>
  </si>
  <si>
    <t>ст.15 ч.4</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</si>
  <si>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</si>
  <si>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1.1.2.4.</t>
  </si>
  <si>
    <t>ст.14 ч.1 п.4</t>
  </si>
  <si>
    <t>0502|</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</si>
  <si>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</si>
  <si>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</si>
  <si>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</si>
  <si>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1.2.</t>
  </si>
  <si>
    <t>0102|0104|0106|0107|0113|0502|0705|1001|1202|1301|</t>
  </si>
  <si>
    <t>1.2.1.</t>
  </si>
  <si>
    <t>ст.17 ч.1 п.9</t>
  </si>
  <si>
    <t>Закон РМ № 48-З
 О регулировании отношений в сфере муниципальной службы
 от 08.06.2007</t>
  </si>
  <si>
    <t>0102|0104|0106|</t>
  </si>
  <si>
    <t>ст.34 ч.9</t>
  </si>
  <si>
    <t>1.2.2.</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</si>
  <si>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</si>
  <si>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</si>
  <si>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</si>
  <si>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</si>
  <si>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1.2.4.</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</si>
  <si>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</si>
  <si>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</si>
  <si>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</si>
  <si>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1.2.8.</t>
  </si>
  <si>
    <t>ст. 9.2 п.6</t>
  </si>
  <si>
    <t>Федеральный закон № 174-ФЗ Об автономных учреждениях от 03.11.2006</t>
  </si>
  <si>
    <t>ст.2</t>
  </si>
  <si>
    <t>08.01.2007 - 01.01.2099</t>
  </si>
  <si>
    <t>ст.17 ч.1 п.3</t>
  </si>
  <si>
    <t>Указ Президента РФ № 601 Об основных направлениях совершенствования системы государственного управления от 07.05.2012</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</si>
  <si>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</si>
  <si>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1.2.13.</t>
  </si>
  <si>
    <t>ст.17 ч.1 п.5</t>
  </si>
  <si>
    <t>Закон РМ № 16-З О выборах депутатов представительных органов муниципальных образований в Республике Мордовия от 19.02.2007</t>
  </si>
  <si>
    <t>ст.51</t>
  </si>
  <si>
    <t>04.03.2007 - 01.01.2099</t>
  </si>
  <si>
    <t>0107|</t>
  </si>
  <si>
    <t>Федеральный закон № 67-ФЗ Об основных гарантиях избирательных прав и права на участие в референдуме граждан Российской Федерации от 12.06.2002</t>
  </si>
  <si>
    <t>ст.57</t>
  </si>
  <si>
    <t>26.06.2002 - 01.01.2099</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</si>
  <si>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</si>
  <si>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1.2.17.</t>
  </si>
  <si>
    <t>ст.17 ч.1 п.7</t>
  </si>
  <si>
    <t>1202|</t>
  </si>
  <si>
    <t>Закон РФ № 2124-1 О средствах массовой информации от 27.12.1991</t>
  </si>
  <si>
    <t>ст.7</t>
  </si>
  <si>
    <t>08.02.1992 - 01.01.2099</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</si>
  <si>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</si>
  <si>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1.2.19.</t>
  </si>
  <si>
    <t>ст.32 п.3</t>
  </si>
  <si>
    <t>Закон РМ № 48-З О регулировании отношений в сфере муниципальной службы от 08.06.2007</t>
  </si>
  <si>
    <t>09.06.2007 - 01.01.2099</t>
  </si>
  <si>
    <t>0705|</t>
  </si>
  <si>
    <t>ст.17 ч.1 п. 8.1.</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</si>
  <si>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</si>
  <si>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1.2.20.</t>
  </si>
  <si>
    <t>Федеральный закон № 261-ФЗ Об энергосбережении и о повышении энергетической эффективности и о внесении изменений в отдельные законодательные акты Российской Федерации от 23.11.2009</t>
  </si>
  <si>
    <t>ст.8</t>
  </si>
  <si>
    <t>27.11.2009 - 01.01.2099</t>
  </si>
  <si>
    <t>ст.17 ч.1 п.8</t>
  </si>
  <si>
    <t>предоставление доплаты за выслугу лет к трудовой пенсии муниципальным служащим за счет средств местного бюджета</t>
  </si>
  <si>
    <t>1.2.23.</t>
  </si>
  <si>
    <t>Закон РМ № 30-З
 О муниципальной службе в Республике Мордовия
 от 08.06.1999</t>
  </si>
  <si>
    <t>ст.30</t>
  </si>
  <si>
    <t>1001|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</si>
  <si>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</si>
  <si>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1.3.</t>
  </si>
  <si>
    <t>по перечню, предусмотренному Федеральным законом  от 6 октября 2003 г. № 131-ФЗ «Об общих принципах организации местного самоуправления в Российской Федерации», всего</t>
  </si>
  <si>
    <t>1.3.1.</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</si>
  <si>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</si>
  <si>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1.3.1.12.</t>
  </si>
  <si>
    <t>ст. 15.1 ч.1 п.14</t>
  </si>
  <si>
    <t>Федеральный закон № 182-ФЗ Об основах системы профилактики правонарушений в Российской Федерации от 23.06.2016</t>
  </si>
  <si>
    <t>ст.12</t>
  </si>
  <si>
    <t>22.09.2016 - 01.01.2099</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</si>
  <si>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</si>
  <si>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1.3.3.</t>
  </si>
  <si>
    <t>Материальная помощь гражданам, оказавшимся в трудной жизненной ситуации</t>
  </si>
  <si>
    <t>1.3.3.2.</t>
  </si>
  <si>
    <t>ст.20 ч.5</t>
  </si>
  <si>
    <t>Оказание других видов социальной помощи</t>
  </si>
  <si>
    <t>1.3.3.3.</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</si>
  <si>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</si>
  <si>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1.3.4.</t>
  </si>
  <si>
    <t>0104|0111|0113|</t>
  </si>
  <si>
    <t>реализация мероприятий в области формирования информационного общества</t>
  </si>
  <si>
    <t>1.3.4.1.</t>
  </si>
  <si>
    <t>ст. 15.1.</t>
  </si>
  <si>
    <t>0104|0113|</t>
  </si>
  <si>
    <t>резервные фонды администрации муниципальных образований</t>
  </si>
  <si>
    <t>1.3.4.2.</t>
  </si>
  <si>
    <t>0111|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</si>
  <si>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</si>
  <si>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1.4.</t>
  </si>
  <si>
    <t>0104|0105|0304|0405|0702|1003|1004|</t>
  </si>
  <si>
    <t>за счет субвенций, предоставленных из федерального бюджета, всего</t>
  </si>
  <si>
    <t>1.4.1.</t>
  </si>
  <si>
    <t>0105|0304|</t>
  </si>
  <si>
    <t>на государственную регистрацию актов гражданского состояния</t>
  </si>
  <si>
    <t>1.4.1.1.</t>
  </si>
  <si>
    <t>Федеральный закон № 143-ФЗ Об актах гражданского состояния от 15.11.1997</t>
  </si>
  <si>
    <t>ст.4 п.1 абз.4</t>
  </si>
  <si>
    <t>20.11.1997 - 01.01.2099</t>
  </si>
  <si>
    <t>п.2</t>
  </si>
  <si>
    <t>Закон РМ № 84-З О наделении органов местного самоуправления государственными полномочиями по государственной регистрации актов гражданского состояния от 28.11.2005</t>
  </si>
  <si>
    <t>ст.1 п.1</t>
  </si>
  <si>
    <t>29.11.2005 - 01.01.2099</t>
  </si>
  <si>
    <t>0304|</t>
  </si>
  <si>
    <t>Постановление Правительства РФ № 445 Об утверждении государственной программы Российской Федерации "Развитие федеративных отношений и создание условий для эффективного и ответственного управления региональными и муниципальными финансами" от 18.05.2016</t>
  </si>
  <si>
    <t>18.05.2016 - 31.12.2024</t>
  </si>
  <si>
    <t>по составлению списков кандидатов в присяжные заседатели</t>
  </si>
  <si>
    <t>1.4.1.2.</t>
  </si>
  <si>
    <t>Федеральный закон № 113-ФЗ О присяжных заседателях федеральных судов общей юрисдикции в Российской Федерации от 20.08.2004</t>
  </si>
  <si>
    <t>ст.5</t>
  </si>
  <si>
    <t>05.09.2004 - 01.01.2099</t>
  </si>
  <si>
    <t>Закон РМ № 16-З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(изменению) списков кандидатов в присяжные заседатели федеральных судов общей юрисдикции в Российской Федерации от 05.04.2017</t>
  </si>
  <si>
    <t>06.04.2017 - 01.01.2099</t>
  </si>
  <si>
    <t>0105|</t>
  </si>
  <si>
    <t>за счет субвенций, предоставленных из бюджета субъекта Российской Федерации, всего</t>
  </si>
  <si>
    <t>1.4.2.</t>
  </si>
  <si>
    <t>0104|0405|0702|1003|1004|</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</si>
  <si>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</si>
  <si>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1.4.2.7.</t>
  </si>
  <si>
    <t>Закон РМ № 59-З О наделении органов местного самоуправления государственными полномочиями по поддержке сельскохозяйственного производства от 14.07.2008</t>
  </si>
  <si>
    <t>ст.1</t>
  </si>
  <si>
    <t>16.07.2008 - 01.01.2099</t>
  </si>
  <si>
    <t>Постановление Правительства РМ №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 предусмотренных Законом Республики Мордовия от 14 июля 2008 г. № 59-З "О наделении органов местного самоуправления государственными полномочиями по поддержке сельскохозяйственного производства" и признании утратившими силу некоторых постановлений Правительства Республики Мордовия от 22.06.2015</t>
  </si>
  <si>
    <t>23.06.2015 - 01.01.2099</t>
  </si>
  <si>
    <t>Указ Главы РМ № 91-УГ О дополнительных мерах по подготовке и закреплению молодых специалистов в сельскохозяйственном производстве от 27.02.2015</t>
  </si>
  <si>
    <t>03.03.2015 - 01.01.2099</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</si>
  <si>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</si>
  <si>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1.4.2.28.</t>
  </si>
  <si>
    <t>Федеральный закон № 159-ФЗ О дополнительных гарантиях по социальной поддержке детей-сирот и детей, оставшихся без попечения родителей от 21.12.1996</t>
  </si>
  <si>
    <t>ст.8 п.8</t>
  </si>
  <si>
    <t>27.12.1996 - 01.01.2099</t>
  </si>
  <si>
    <t>Закон РМ № 87-З О наделении органов местного самоуправления государственными полномочиями в сфере социальной поддержки отдельных категорий населения, проживающего в Республике Мордовия от 28.11.2005</t>
  </si>
  <si>
    <t>ст.1 п.5</t>
  </si>
  <si>
    <t>02.12.2005 - 01.01.2099</t>
  </si>
  <si>
    <t>Постановление Правительства РМ № 330 О мерах по реализации Закона Республики Мордовия от 23 апреля 2013 г.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12.08.2013</t>
  </si>
  <si>
    <t>16.08.2013 - 01.01.2099</t>
  </si>
  <si>
    <t>0104|1004|</t>
  </si>
  <si>
    <t>Закон РМ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23.04.2013</t>
  </si>
  <si>
    <t>24.04.2013 - 01.01.2099</t>
  </si>
  <si>
    <t>Постановление Правительства РМ № 237 О мерах по реализации Закона Республики Мордовия от 28 декабря 2004 г. № 102-З и Закона Республики Мордовия от 28 ноября 2005 г. № 87-З от 20.05.2019</t>
  </si>
  <si>
    <t>28.05.2019 - 01.01.2099</t>
  </si>
  <si>
    <t>Постановление Правительства РФ № 296 Об утверждении государственной программы Российской Федерации "Социальная поддержка граждан" от 15.04.2014</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</si>
  <si>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</si>
  <si>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1.4.2.36.</t>
  </si>
  <si>
    <t>Постановление Правительства РМ №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02.03.2015</t>
  </si>
  <si>
    <t>п.3</t>
  </si>
  <si>
    <t>05.03.2015 - 01.01.2099</t>
  </si>
  <si>
    <t>0702|1003|</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</si>
  <si>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</si>
  <si>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1.4.2.38.</t>
  </si>
  <si>
    <t>ст.1 п.2</t>
  </si>
  <si>
    <t>Постановление Правительства РМ № 26 О порядке предоставления субвенции бюджетам муниципальных районов, городского округа на реализацию государственных полномочий по оплате труда приемных родителей, проживающих на территории Республики Мордовия, и выплате ежемесячного денежного пособия опекуну (попечителю) на содержание ребенка, находящегося под опекой (попечительством), в Республике Мордовия от 29.01.2007</t>
  </si>
  <si>
    <t>15.02.2007 - 01.01.2099</t>
  </si>
  <si>
    <t>1004|</t>
  </si>
  <si>
    <t>ст.1 п.3</t>
  </si>
  <si>
    <t>ст.1 п.4</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</si>
  <si>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</si>
  <si>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1.4.2.39.</t>
  </si>
  <si>
    <t>Закон РМ № 45-З Об административных комиссиях в Республике Мордовия от 17.10.2002</t>
  </si>
  <si>
    <t>ст.15.1. п.1</t>
  </si>
  <si>
    <t>05.11.2002 - 01.01.2099</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</si>
  <si>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13.02.2017</t>
  </si>
  <si>
    <t>16.02.2017 - 01.01.2099</t>
  </si>
  <si>
    <t>0104|</t>
  </si>
  <si>
    <t>Закон РМ № 26-З Об организации деятельности комиссий по делам несовершеннолетних и защите их прав в Республике Мордовия от 30.03.2005</t>
  </si>
  <si>
    <t>ст.4.1 п.1</t>
  </si>
  <si>
    <t>17.04.2005 - 01.01.2099</t>
  </si>
  <si>
    <t>на организацию и осуществление деятельности по опеке и попечительству</t>
  </si>
  <si>
    <t>1.4.2.40.</t>
  </si>
  <si>
    <t>Федеральный закон № 48-ФЗ Об опеке и попечительстве от 24.04.2008</t>
  </si>
  <si>
    <t>ст.6 ч. 1.1.</t>
  </si>
  <si>
    <t>01.09.2008 - 01.01.2099</t>
  </si>
  <si>
    <t>Закон РМ № 134-З О наделении органов местного самоуправления государственными полномочиями по организации деятельности по опеке и попечительству от 18.12.2008</t>
  </si>
  <si>
    <t>01.01.2009 - 01.01.2099</t>
  </si>
  <si>
    <t>Постановление Правительства РМ №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 от 16.01.2017</t>
  </si>
  <si>
    <t>п.4</t>
  </si>
  <si>
    <t>18.01.2017 - 01.01.2099</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</si>
  <si>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t>
  </si>
  <si>
    <t>1.4.2.54.</t>
  </si>
  <si>
    <t>Закон РМ № 10-З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02.03.2016</t>
  </si>
  <si>
    <t>03.03.2016 - 01.01.2099</t>
  </si>
  <si>
    <t>Постановление Правительства РМ №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28.03.2016</t>
  </si>
  <si>
    <t>29.03.2016 - 01.01.2099</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</si>
  <si>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</si>
  <si>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t>1.4.2.76.</t>
  </si>
  <si>
    <t>Закон РМ № 9-З О квотировании рабочих мест для отдельных категорий граждан, особо нуждающихся в социальной защите от 07.02.2005</t>
  </si>
  <si>
    <t>ст.3 п.1</t>
  </si>
  <si>
    <t>16.02.2005 - 01.01.2099</t>
  </si>
  <si>
    <t>Постановление Правительства РМ №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29.03.2006</t>
  </si>
  <si>
    <t>14.04.2006 - 01.01.2099</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</si>
  <si>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 на формирование и содержание архивных фондов субъекта Российской Федерации</t>
  </si>
  <si>
    <t>1.4.2.93.</t>
  </si>
  <si>
    <t>ст.4 ч.5</t>
  </si>
  <si>
    <t>Закон РМ № 10-З Об архивном деле Республики Мордовия от 07.02.2005</t>
  </si>
  <si>
    <t>ст.5 п.1</t>
  </si>
  <si>
    <t>08.02.2005 - 01.01.2099</t>
  </si>
  <si>
    <t>Постановление Правительства РМ №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 комплектованию, учету и использованию архивных документов, находящихся в собственности Республики Мордовия и хранящихся в муниципальных архивах от 09.01.2017</t>
  </si>
  <si>
    <t>п.5</t>
  </si>
  <si>
    <t>11.01.2017 - 01.01.2099</t>
  </si>
  <si>
    <t>Закон РМ № 57-З О правовом регулировании жилищных отношений в Республике Мордовия от 01.07.2005</t>
  </si>
  <si>
    <t>ст.11 п.1</t>
  </si>
  <si>
    <t>05.07.2005 - 01.01.2099</t>
  </si>
  <si>
    <t>Постановление Правительства РМ №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 которые в соответствии с законодательством Республики Мордовия имеют право на государственную поддержку в строительстве или приобретении жилья от 26.01.2017</t>
  </si>
  <si>
    <t>31.01.2017 - 01.01.2099</t>
  </si>
  <si>
    <t>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</si>
  <si>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1.5.</t>
  </si>
  <si>
    <t>0701|0702|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</si>
  <si>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</si>
  <si>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1.5.1.</t>
  </si>
  <si>
    <t>ст.8 ч.1 п.3</t>
  </si>
  <si>
    <t>Закон РМ № 4-З О нормативах расходов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 Республике Мордовия от 15.03.2011</t>
  </si>
  <si>
    <t>16.03.2011 - 01.01.2099</t>
  </si>
  <si>
    <t>Постановление Правительства РМ №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10.02.2014</t>
  </si>
  <si>
    <t>20.02.2014 - 01.01.2099</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</si>
  <si>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</si>
  <si>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1.5.2.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</si>
  <si>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</si>
  <si>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1.5.3.</t>
  </si>
  <si>
    <t>Закон РМ № 101-З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27.12.2013</t>
  </si>
  <si>
    <t>01.01.2014 - 01.01.2099</t>
  </si>
  <si>
    <t>Постановление Правительства РМ №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10.02.2014</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</si>
  <si>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</si>
  <si>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1.6.</t>
  </si>
  <si>
    <t>0104|0113|0309|0409|0502|0503|0603|1401|1403|</t>
  </si>
  <si>
    <t>по предоставлению дотаций на выравнивание бюджетной обеспеченности городских, сельских поселений, всего</t>
  </si>
  <si>
    <t>1.6.1.</t>
  </si>
  <si>
    <t>ст.15 ч.1 п.20</t>
  </si>
  <si>
    <t>Закон РМ № 4-З О межбюджетных отношениях в Республике Мордовия от 21.02.2008</t>
  </si>
  <si>
    <t>22.02.2008 - 01.01.2099</t>
  </si>
  <si>
    <t>1401|</t>
  </si>
  <si>
    <t>по предоставлению иных межбюджетных трансфертов, всего</t>
  </si>
  <si>
    <t>1.6.4.</t>
  </si>
  <si>
    <t>бюджетам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</si>
  <si>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1.6.4.1.</t>
  </si>
  <si>
    <t>ст.7 п.2</t>
  </si>
  <si>
    <t>иные межбюджетные трансферты на дорожную деятельность в отношении автомобильных дорог местного значения в границах населенных пунктов поселений</t>
  </si>
  <si>
    <t>1.6.4.1.5.</t>
  </si>
  <si>
    <t>иные межбюджетные на осуществление полномочий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</si>
  <si>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1.6.4.1.17.</t>
  </si>
  <si>
    <t>0503|</t>
  </si>
  <si>
    <t>Условно утвержденные расходы на первый и второй годы планового периода в соответствии с решением о местном бюджете муниципальног района</t>
  </si>
  <si>
    <t>1.7.</t>
  </si>
  <si>
    <t>9999|</t>
  </si>
  <si>
    <t>0113|0801</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</si>
  <si>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</si>
  <si>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</si>
  <si>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Нормативные правовые акты, договоры, соглашения муниципальных образований</t>
  </si>
  <si>
    <t>Нормативное правовое регулирование, определяющее финансовое обеспечение и порядок расходования средств</t>
  </si>
  <si>
    <t>Примечание</t>
  </si>
  <si>
    <t>Решение Совета депутатов Чамзинского муниципального района от 30 декабря 2013 г. N 150 "О создании дорожного фонда Чамзинского муниципального района Республики Мордовия"</t>
  </si>
  <si>
    <t>Постановление Администрации Чамзинского муниципального района от 22 марта 2016 г. N 192 "Об утверждении Положения об организации и ведении гражданской обороны в Чамзинском муниципальном районе"</t>
  </si>
  <si>
    <t>Постановление Чамзинского муниципального района от 13.02.2013г. №110 "Об утверждении порядка определения оюъема и предоставления субсидий социально ориентированным некомерческим организациям"</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</si>
  <si>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</si>
  <si>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Устав Чамзинского муниципального района, утвержденный решением Совета депутатов Чамзинского муниципального района от 31.12.2005г. №133</t>
  </si>
  <si>
    <t>Решение Совета депутатов Чамзинского муниципального района Республики Мордовия от 25 апреля 2016 г. N 302 "О бюджетном процессе в Чамзинском муниципальном районе Республики Мордовия"</t>
  </si>
  <si>
    <t>Решение Совета депутатов Чамзинского муниципального района Республики Мордовия от 20 февраля 2015 г. N 230 "О порядке установления и выплаты пенсии за выслугу лет лицам, замещавшим муниципальные должности и должности муниципальной службы в органах местного самоуправления Чамзинского муниципального района"</t>
  </si>
  <si>
    <t>Решение Совета депутатов Чамзинского муниципального района от 23 декабря 2014 г. N 218 "Об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t>
  </si>
  <si>
    <t>Постановление Администрации Чамзинского мунципального района от 13.02.2013 года №110 "Об утверждении Порядка определения объема и предоставления субсидий социально ориентированным некоммерческим организациям"</t>
  </si>
  <si>
    <t>п.11 ч.1 ст.3</t>
  </si>
  <si>
    <t>п.16 ч.1 ст.3</t>
  </si>
  <si>
    <t>п.19 ч.1 ст.3</t>
  </si>
  <si>
    <t>п.20 ч.1 ст.3</t>
  </si>
  <si>
    <t>Постановление Чамзинского муниципального района №213 от 28.03.2016 г. "Об утверждении устава муниципального казенного учреждения "Служба хозяйственного обеспечения деятельности органив местного самоуправления и муниципальных учреждений"</t>
  </si>
  <si>
    <t>Постановление Администрации Чамзинского муниципального района Республики Мордовия от 20.03.2009 года №160 О создании муниципального учреждения "Центр бухгалтерского обслуживания учреждений образования, культуры и спорта"</t>
  </si>
  <si>
    <t>п.28 ч.1 ст.3</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</si>
  <si>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 в новой редакции"</t>
  </si>
  <si>
    <t xml:space="preserve">Начальник финансового управления администрации                                    Чамзинского муниципального района </t>
  </si>
  <si>
    <t>(подпись)</t>
  </si>
  <si>
    <t>(расшифровка подписи)</t>
  </si>
  <si>
    <t>Ю.А.Вяткина</t>
  </si>
  <si>
    <t>Исполнитель:</t>
  </si>
  <si>
    <t>Заведующий бюджетным отделом</t>
  </si>
  <si>
    <t>И.А.Иошина</t>
  </si>
  <si>
    <t>РЕЕСТР РАСХОДНЫХ ОБЯЗАТЕЛЬСТВ,
ЧАМЗИНСКОГО МУНИЦИПАЛЬНОГО РАЙОНА РЕСПУБЛИКИ МОРДОВИЯ</t>
  </si>
  <si>
    <t>Федеральный закон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08.11.2007г.</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</si>
  <si>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t>
  </si>
  <si>
    <t>1.6.4.1.12.</t>
  </si>
  <si>
    <t>1.6.4.1.21.</t>
  </si>
  <si>
    <t>1.6.4.1.22.</t>
  </si>
  <si>
    <t>1.6.4.1.23.</t>
  </si>
  <si>
    <t>0104</t>
  </si>
  <si>
    <t>1.6.4.1.4.</t>
  </si>
  <si>
    <t>1.6.4.1.7.</t>
  </si>
  <si>
    <t>0104|0113|0409|0502|0503|0603|1403|</t>
  </si>
  <si>
    <t>иные межбюджетные трансферты на осуществление полномочий по осуществлению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</si>
  <si>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иные межбюджетные трансферты на осуществление полномочий по утверждению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</si>
  <si>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</si>
  <si>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иные межбюджетные трансферты на осуществление полномочий по участию в организации деятельности по накоплению (в том числе раздельному накоплению) и транспортированию твердых коммунальных отходов</t>
  </si>
  <si>
    <t>иные межбюджетные трансферты на осуществление полномочий по осуществлению мероприятий по обеспечению безопасности людей на водных объектах, охране их жизни и здоровья</t>
  </si>
  <si>
    <t>1.6.2.</t>
  </si>
  <si>
    <t>по предоставлению субсидий из местных бюджетов, всего</t>
  </si>
  <si>
    <t>1.6.2.2</t>
  </si>
  <si>
    <t>1403|</t>
  </si>
  <si>
    <t>бюджетам муниципальных образований, всего</t>
  </si>
  <si>
    <t>Решение Совета депутатов Чамзинского муниципального района от 26 февраля 2020 г. N 248 "Об утверждении Порядка и случеев предоставления бюджетам поселений Чамзинского муниципального района Республики Мордовия субсидий на софинансирование расходных обязательств по финансовому обеспечению деятельности органов местного самоуправления и муниципальных учреждений"</t>
  </si>
  <si>
    <t>Решение Совета депутатов Чамзинского муниципального района от 23.12.2016 года  №29 «О Порядке предоставления дотаций на выравнивание бюджетной обеспеченности поселений из бюджета Чамзинского муниципального района Республики Мордовия»</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</si>
  <si>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</si>
  <si>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0113| 0801|</t>
  </si>
  <si>
    <t>1.4.2.41.</t>
  </si>
  <si>
    <t>на организацию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</si>
  <si>
    <t>Постановление Правительства РМ № 63 "Об утверждении Порядка предоставления из республиканского бюджета Республики Мордовия субвенций местным бюджетам на 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 от 03.02.2020</t>
  </si>
  <si>
    <t>Закон РМ № 79-З "О наделении органов местного самоуправления государственными полномочиями Республики Мордовия по обеспечению отдыха и оздоровления детей в каникулярное время" от 02.12.2019</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</si>
  <si>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t>
  </si>
  <si>
    <t>1.4.2.97.</t>
  </si>
  <si>
    <t>Выплаты лицам, удостоенным звания «Почетный гражданин»</t>
  </si>
  <si>
    <t>1.3.3.5.</t>
  </si>
  <si>
    <t>Федеральный закон № 131-ФЗ "Об общих принципах организации местного самоуправления в Российской Федерации" от 06.10.2003</t>
  </si>
  <si>
    <t xml:space="preserve">Постановление администрации Чамзинского муниципального района №37 от 19.01.2017 года "Об утверждении муниципальной программы "Развитие образование в Чамзинском муниципальном районе" на 2016-2025 годы </t>
  </si>
  <si>
    <t>0106|0502|</t>
  </si>
  <si>
    <t>Постановление администрации Чамзинского муниципального района от 15.11.2019 года №852 "Об утверждении муниципальной программы "Цифровая трансформация Чамзинского муниципального района Республики Мордовия"</t>
  </si>
  <si>
    <t>Постановление администрации Чамзинского муниципального района от 11.11.2015 года №1033 "Об утверждении малого и среднего предпринимательства Чамзинского муниципального района"</t>
  </si>
  <si>
    <t>Постановление Администрации Чамзинского мунципального района от 23.12.2014 года №1003 "Об утверждении муниципальной программы повышения эффективности управления муниципальными финасами в Чамзинском муниципальном районе РМ"</t>
  </si>
  <si>
    <t>Постановление Администрации Чамзинского мунципального района от 31.08.2015 года №747 "Об утверждении муниципальной программы энергетической эффективности в Чамзинском муниципальном районе РМ"</t>
  </si>
  <si>
    <t>Решение Совета депутатов Чамзинского муниципального района от 1 марта 2017 г. N52, Решение Совета депутатов Чамзинского муниципального района от 15 июля 2010 г. N183
"Об утверждении Положения "О приватизации муниципального имущества Чамзинского муниципального района Республики Мордовия"</t>
  </si>
  <si>
    <t>Постановление Администрации Чамзинского муниципального района от 17 марта 2020 г. N159 "Об утверждении муниципальной программы "Укрепление общественного порядка и обеспечение общественной безопасности в Чамзинском муниципальном районе"</t>
  </si>
  <si>
    <t>Постановление администрации Чамзинского муниципального района РМ от 31.08.2015 г. №741 "Об утверждении муниципальной программы "Обеспечение доступным и комфортным жильем и коммунальными услугами граждан Российской Федерации"</t>
  </si>
  <si>
    <t>Постановление администрации Чамзинского муниципального района от 31.08.2015 года №746 "Об утверждении муниципальной программы "Модернизация и реформирование ЖКХ"</t>
  </si>
  <si>
    <t xml:space="preserve">Постановление администрации Чамзинского муниципального района №444 от 25.06.2019 г. "Об утверждении муниципальной программы «Оформление права собственности на муниципальные и бесхозяйные объекты недвижимого имущества, расположенные на территории Чамзинского муниципального района»
</t>
  </si>
  <si>
    <t xml:space="preserve">Постановление администрации Чамзинского муниципального района № 1053 от 17.11.2015 г. "Об утверждении муниципальной программы «Развитие автомобильных дорог на 2015-2025 годы в Чамзинском муниципальном районе Республики Мордовия "
</t>
  </si>
  <si>
    <t>Постановление администрации Чамзинского муниципального района № 1233 от 16.12.2013 "Об утверждении мунципальной программы «Гармонизация межнациональных и межконфессиональных  отношений в Чамзинском муниципальном районе на 2014-2025 годы»</t>
  </si>
  <si>
    <t>п.10, п.11 ч.2</t>
  </si>
  <si>
    <t>Постановление Администрации Чамзинского муниципального района Республики Мордовия от 02.07.2019 г. №498 "Об поддержке социально-ориентированных некоммерческих организаций на реализацию проекта по персонифицированному финансированию дополнительного образования детей"</t>
  </si>
  <si>
    <t>п.4, п.5 ч.1</t>
  </si>
  <si>
    <t>Постановление Администрации Чамзинского муниципального района Республики Мордовия от 29.11.2013 года №1187 "Об утверждении Примерного положения об оплате труда работников образовательных организаций Чамзинского муниципального района"</t>
  </si>
  <si>
    <t xml:space="preserve">Постановление администрации Чамзинского муниципального района №748 от 31.08.2015г. "Об утверждении муниципальной программы "Развитие культуры и туризма Чамзинского муниципального района на 2014-2025 годы"
</t>
  </si>
  <si>
    <t>Решение Совета депутатов Чамзинского муниципального района Республики Мордовия от 21.10.2008 г. №66 "Об оплате труда работников мунципальных учреждений Чамзинского муниципального района"</t>
  </si>
  <si>
    <t>Постановление Администрации Чамзинского муниципального района от 28.10.2008 г. №927 "Об утверждении базовых окладов (базовых должностных окладов), базовых ставок работников муниципальных учреждений Чамзинского муниципального района"</t>
  </si>
  <si>
    <t xml:space="preserve">Постановление администрации Чамзинского муниципального района №581 от 14.08.2009г. "Об утверждении Положения об оплате труда работников объединенного межведомственного архива документов по личному составу Чамзинского муниципального района"
</t>
  </si>
  <si>
    <t xml:space="preserve">Постановление администрации Чамзинского муниципального района №1033 от 11.11.2015г. "Об утверждении муниципальной программы развития и поддержки малого и среднего предпринимательства Чамзинского муниципального района"
</t>
  </si>
  <si>
    <t>Решение Совета депутатов Чамзинского муниципального района от 09.02.2017 года №48 "О поддержке социально ориентированным некоммерческим организациям"</t>
  </si>
  <si>
    <t xml:space="preserve">Постановление администрации Чамзинского муниципального района №56 от 28.01.2017 г. "Об утверждении мунципальной программы «Социальная поддержка граждан на 2017-2025 годы»
</t>
  </si>
  <si>
    <t xml:space="preserve">Постановление администрации Чамзинского муниципального района №735 от 31.08.2015г. "Об утверждении муниципальной программы «Развитие физической культуры и массового спорта в Чамзинском муниципальном районе на 2016-2024 годы»
</t>
  </si>
  <si>
    <t xml:space="preserve">Постановление администрации Чамзинского муниципального района №734 от 31.08.2015 "Об утверждении муниципальной программы «Молодёжь Чамзинского муниципального района на 2016-2024 годы» 
</t>
  </si>
  <si>
    <t>Постановление администрации Чамзинского муниципального района №703 от 23.08.2016г. "Об утверждении муниципальной программы «Патриотическое воспитание граждан, проживающих на территории Чамзинского муниципального района на 2017-2025 годы»</t>
  </si>
  <si>
    <t>Постановление администрации Чамзинского муниципального района от 16.09.2019 года №692 "Об утверждении муниципальной программы "Комплексное развитие сельских территорий"</t>
  </si>
  <si>
    <t>Решение Совета депутатов Чамзинского муниципального района от 14.09.2016 года №330 "О принятии полномочий Комсомольского городского поселения, городского поселения Чамзинка Чамзинского муниципального района в сфере водоснабжения"</t>
  </si>
  <si>
    <t>Постановление администрации Чамзинского муниципального района от 27.02.2019 года №143 "О принятии решения реализации бюджетных инвестиций в объекты муниципальной собственности Чамзинского муниципального района в 2019-2021 годах"</t>
  </si>
  <si>
    <t>Решение Совета депутатов Чамзинского муниципального района от 18.04.2013 г. №115 "Об утверждении Положения «Об условиях и размерах оплаты труда выборных должностных лиц местного самоуправления, осуществляющих свои полномочия на постоянной основе, муниципальных служащих Чамзинского муниципального района"</t>
  </si>
  <si>
    <t xml:space="preserve">Постановление администрации Чамзинского муниципального района №1003 от 23.12.2014г "Об утверждении муниципальной программы повышения эффективности управления муниципальными финансами в Чамзинском муниципальном районе Республики Мордовия"
</t>
  </si>
  <si>
    <t>Решение Совета депутатов Чамзинского муниципального района от 28.04.2020 г. №259 "Об установлении расходного обязательства, связанного с оказанием содействия избирательным комиссиям в подготовке и проведении общероссийского голосования, а также в информировании граждан Российской Федерации о такой подготовке и его проведении"</t>
  </si>
  <si>
    <t>Постановление администрации Чамзинского муниципального района №898 от 07.10.2015г. "Об утверждении муниципальной программы «Развитие муниципальной службы в Чамзинском муниципальном районе Республики Мордовия (2015-2025 годы)»</t>
  </si>
  <si>
    <t>плановый период</t>
  </si>
  <si>
    <t>2023 г.</t>
  </si>
  <si>
    <t>Единица измерения: тыс руб (с точностью до первого десятичного знака)</t>
  </si>
  <si>
    <t>отчетный
 2020 г.</t>
  </si>
  <si>
    <t>текущий
2021 г.</t>
  </si>
  <si>
    <t>очередной 2022 г.</t>
  </si>
  <si>
    <t>2024 г.</t>
  </si>
  <si>
    <t>Постановление Администрации Чамзинского муниципального района от 29.12.2020 года №875 «Об утверждении Порядка определения объема и условий предоставления субсидий на иные цели муниципальным бюджетным и автономным учреждениям Чамзинского муниципального района Республики Мордовия»</t>
  </si>
  <si>
    <t>Постановление Администрации Чамзинского муниципального района Республики Мордовия от 26.02.2016 года №137 «Об утверждении Порядка проведения конкурсного отбора образовательных организаций и учреждений культуры Чамзинского муниципального района на получение субсидий на укрепление материально-технической базы»</t>
  </si>
  <si>
    <t>0502| 0701|0702|0801|</t>
  </si>
  <si>
    <t>иные межбюджетные трансферты на реконструкцию объектов жилищно-коммунального хозяйства, организацию в границах поселения электро-, тепло-, газо- и водоснабжения населения</t>
  </si>
  <si>
    <t>Постановление Администрации Чамзинского муниципального района от 27 марта 2012 года №228 "Об утверждении Порядка определения объема и условий предоставления субсидий на иные цели муниципальным бюджетным и автономным учреждениям из бюджета Чамзинского муниципального района"</t>
  </si>
  <si>
    <t>27.03.2017 (органичен до 01.01.2021)</t>
  </si>
  <si>
    <t>0113|0709|</t>
  </si>
  <si>
    <t>0503 0603</t>
  </si>
  <si>
    <t>1.2.11.</t>
  </si>
  <si>
    <t>1.2.12.</t>
  </si>
  <si>
    <t>полномочия по организации теплоснабжения, предусмотренные Федеральным законом от 27 июля 2010 г. № 190-ФЗ «О теплоснабжении»</t>
  </si>
  <si>
    <t>полномочиями в сфере водоснабжения и водоотведения, предусмотренными Федеральным законом "О водоснабжении и водоотведении"</t>
  </si>
  <si>
    <t>Федеральный закон №190-ФЗ О теплосеабжении</t>
  </si>
  <si>
    <t>ст.17 ч.1 п.4.2</t>
  </si>
  <si>
    <t>ст.17 ч.1 п.4.3</t>
  </si>
  <si>
    <t>ст.6</t>
  </si>
  <si>
    <t xml:space="preserve">Постановление Администрации Чамзинского муниципального района Республики Мордовия от 07.07.2020 года №356 «Об утверждении Положения о порядке предоставления субсидий из бюджета Чамзинского муниципального района Республики Мордовия на формирование или увеличение уставного фонда муниципальных унитарных предприятий, осуществляющих деятельность в сфере жилищно-коммунального хозяйства на территории Чамзинского муниципального района Республики Мордовия» </t>
  </si>
  <si>
    <t>Федеральный закон №416-ФЗ О водоснабжении и водоотведении</t>
  </si>
  <si>
    <t xml:space="preserve">Постановление администрации Чамзинского муниципального района Республики Мордовия от 04.03.2017г. №152 «Об утверждении Порядка предоставления субсидий юридическим лицам на возмещение части затрат, связанных с производством и предоставлением услуг потребителям по холодному водоснабжению и водоотведению на территории Чамзинского муниципального района» </t>
  </si>
  <si>
    <t>0309|0310|</t>
  </si>
  <si>
    <t>на организацию транспортного обслуживания населения воздушным, водным,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автомобильного транспорта, включая легковое такси)</t>
  </si>
  <si>
    <t>1.4.2.15.</t>
  </si>
  <si>
    <t>по подготовке и проведению Всероссийской переписи населения</t>
  </si>
  <si>
    <t>1.4.1.3.</t>
  </si>
  <si>
    <t>создание условий для расширения рынка сельскохозяйственной продукции, сырья и продовольствия</t>
  </si>
  <si>
    <t>1.1.1.39.</t>
  </si>
  <si>
    <t xml:space="preserve">Постановление администрации Чамзинского муниципального района от 27.11.2015 г. №1103 "Об утверждении муниципальной программа развития сельского хозяйства и регулирования рынков сельскохозяйственной продукции, сырья и продовольствия в Чамзинском муниципальном районе на 2015-2025 годы"
</t>
  </si>
  <si>
    <t>Постановление Администрации Чамзинского муниципального района от 18.09.2019 г. N 696
"Об утверждении Положения о порядке расходования и учета финансовых средств по организации предоставления обучающимся в образовательных организациях Чамзинского муниципального района из числа детей-инвалидов и детей с ограниченными возможностями здоровья питания с освобождением от оплаты его стоимости"</t>
  </si>
  <si>
    <t xml:space="preserve">Постановление администрации Чамзинского мунципального района от 09.01.2017г. №5 «Об утверждении нормативных затрат на обеспечение функций администрации Чамзинского муниципального района и подведомственных казенных учреждений» </t>
  </si>
  <si>
    <t>0113|0314|0702|1202|</t>
  </si>
  <si>
    <t>0104|0111|0113|0314|0702|1003|1202|</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</si>
  <si>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</si>
  <si>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4.</t>
  </si>
  <si>
    <t>0102|0104|0111|0113|0203|0309|0314|0409|0501|0502|0503|0505|0603|0801|0804|1001|1003|1301|</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</si>
  <si>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</si>
  <si>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4.1.</t>
  </si>
  <si>
    <t>0113|0309|0314|0409|0501|0502|0503|0505|0603|</t>
  </si>
  <si>
    <t>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</si>
  <si>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4.1.1.</t>
  </si>
  <si>
    <t>владение, пользование и распоряжение имуществом, находящимся в муниципальной собственности городского поселения</t>
  </si>
  <si>
    <t>4.1.1.3.</t>
  </si>
  <si>
    <t>ст.14 ч.1 п.3</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</si>
  <si>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</si>
  <si>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4.1.1.4.</t>
  </si>
  <si>
    <t>Федеральный закон № 190-ФЗ Градостроительный кодекс Российской Федерации от 29.12.2004</t>
  </si>
  <si>
    <t>30.12.2004 - 01.01.2099</t>
  </si>
  <si>
    <t>Федеральный закон № 416-ФЗ О водоснабжении и водоотведении от 07.12.2011</t>
  </si>
  <si>
    <t>01.01.2012 - 01.01.2099</t>
  </si>
  <si>
    <t>Федеральный закон № 69-ФЗ О газоснабжении в Российской Федерации от 31.03.1999</t>
  </si>
  <si>
    <t>ст. 8.1</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</si>
  <si>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</si>
  <si>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4.1.1.6.</t>
  </si>
  <si>
    <t>Федеральный закон №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08.11.2007</t>
  </si>
  <si>
    <t>ст.14 ч.1 п.5</t>
  </si>
  <si>
    <t>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</si>
  <si>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4.1.1.7.</t>
  </si>
  <si>
    <t>0501|</t>
  </si>
  <si>
    <t>участие в предупреждении и ликвидации последствий чрезвычайных ситуаций в границах городского поселения</t>
  </si>
  <si>
    <t>4.1.1.15.</t>
  </si>
  <si>
    <t>0309|</t>
  </si>
  <si>
    <t>ст.14 ч.1 п.8</t>
  </si>
  <si>
    <t>обеспечение первичных мер пожарной безопасности в границах населенных пунктов городского поселения</t>
  </si>
  <si>
    <t>4.1.1.16.</t>
  </si>
  <si>
    <t xml:space="preserve"> (ст.14 п.9 ч.1 )</t>
  </si>
  <si>
    <t>0310|</t>
  </si>
  <si>
    <t xml:space="preserve">Федеральный закон № 69-ФЗ "О газоснабжении в Российской Федерации" от 31.03.1999 </t>
  </si>
  <si>
    <t>(ст.19 )</t>
  </si>
  <si>
    <t>31.03.1999 - 01.01.2099</t>
  </si>
  <si>
    <t>участие в организации деятельности по сбору (в том числе раздельному сбору) и транспортированию твердых коммунальных отходов</t>
  </si>
  <si>
    <t>4.1.1.26.</t>
  </si>
  <si>
    <t>Федеральный закон № 89-ФЗ Об отходах производства и потребления от 24.06.1998</t>
  </si>
  <si>
    <t>30.06.1998 - 01.01.2099</t>
  </si>
  <si>
    <t>0603|</t>
  </si>
  <si>
    <t>ст.14 ч.1 п.18</t>
  </si>
  <si>
    <t>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</si>
  <si>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4.1.1.28.</t>
  </si>
  <si>
    <t>ст.14 ч.1 п.19</t>
  </si>
  <si>
    <t>0503|0505|</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</si>
  <si>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</si>
  <si>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4.1.1.31.</t>
  </si>
  <si>
    <t>ст.14 ч.1 п.20</t>
  </si>
  <si>
    <t>Градостроительный кодекс Российской Федерации № 190-ФЗ Градостроительный кодекс Российской Федерации от 29.12.2004</t>
  </si>
  <si>
    <t>организация ритуальных услуг и содержание мест захоронения</t>
  </si>
  <si>
    <t>4.1.1.33.</t>
  </si>
  <si>
    <t>Федеральный закон № 8-ФЗ О погребении и похоронном деле от 12.01.1996</t>
  </si>
  <si>
    <t>ст.9</t>
  </si>
  <si>
    <t>20.01.1996 - 01.01.2099</t>
  </si>
  <si>
    <t>ст.14 ч.1 п.22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</si>
  <si>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</si>
  <si>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4.2.</t>
  </si>
  <si>
    <t>0102|0104|0113|0503|1001|1301|</t>
  </si>
  <si>
    <t>4.2.1.</t>
  </si>
  <si>
    <t>0102|0104|</t>
  </si>
  <si>
    <t>4.2.2.</t>
  </si>
  <si>
    <t>4.2.4.</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</si>
  <si>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</si>
  <si>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4.2.8.</t>
  </si>
  <si>
    <t>4.2.20.</t>
  </si>
  <si>
    <t>ст.17 ч.1 п. 8.2</t>
  </si>
  <si>
    <t>4.2.23.</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</si>
  <si>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</si>
  <si>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4.3.</t>
  </si>
  <si>
    <t>0111|1003|</t>
  </si>
  <si>
    <t>4.3.3.</t>
  </si>
  <si>
    <t>4.3.3.1.</t>
  </si>
  <si>
    <t>4.3.4.</t>
  </si>
  <si>
    <t>4.3.4.1.</t>
  </si>
  <si>
    <t>ст. 14.1 ч.2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</si>
  <si>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</si>
  <si>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4.4.</t>
  </si>
  <si>
    <t>0104|0203|</t>
  </si>
  <si>
    <t>4.4.1.</t>
  </si>
  <si>
    <t>0203|</t>
  </si>
  <si>
    <t>на осуществление воинского учета на территориях, на которых отсутствуют структурные подразделения военных комиссариатов</t>
  </si>
  <si>
    <t>4.4.1.3.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</si>
  <si>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</si>
  <si>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</si>
  <si>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</si>
  <si>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</si>
  <si>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4.4.2.</t>
  </si>
  <si>
    <t>4.4.2.39.</t>
  </si>
  <si>
    <t>ст.15.1 п.1</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</si>
  <si>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</si>
  <si>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t>
  </si>
  <si>
    <t>4.6.2.</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</si>
  <si>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</si>
  <si>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4.6.2.1.</t>
  </si>
  <si>
    <t>иные межбюджетные трансферты на мероприятия в области коммунального хозяйства</t>
  </si>
  <si>
    <t>4.6.2.1.2.</t>
  </si>
  <si>
    <t>Условно утвержденные расходы на первый и второй годы планового периода в соответствии с решением о местном бюджете городского поселения</t>
  </si>
  <si>
    <t>4.7.</t>
  </si>
  <si>
    <t>материальная помощь гражданам, оказавшимся в трудной жизненной ситуации</t>
  </si>
  <si>
    <t>0502|0505|</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</si>
  <si>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</si>
  <si>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4.1.1.44.</t>
  </si>
  <si>
    <t>ст.14 ч.1 п.33</t>
  </si>
  <si>
    <t>0314|</t>
  </si>
  <si>
    <t>организация благоустройства территории городского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</si>
  <si>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4.1.1.29.</t>
  </si>
  <si>
    <t>0309|0406|</t>
  </si>
  <si>
    <t>0503|0603|</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</si>
  <si>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</si>
  <si>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</si>
  <si>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</si>
  <si>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</si>
  <si>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</si>
  <si>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</si>
  <si>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</si>
  <si>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</si>
  <si>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0113|0409|0503|0603|</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</si>
  <si>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</si>
  <si>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</si>
  <si>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</si>
  <si>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</si>
  <si>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</si>
  <si>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5.1.1.12.</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</si>
  <si>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</si>
  <si>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</si>
  <si>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0309|0503|</t>
  </si>
  <si>
    <t>участие в предупреждении и ликвидации последствий чрезвычайных ситуаций в границах сельского поселения</t>
  </si>
  <si>
    <t>5.1.2.12.</t>
  </si>
  <si>
    <t>ст.14 ч.3</t>
  </si>
  <si>
    <t>Закон РМ № 83-З
 О закреплении отдельных вопросов местного значения за сельскими поселениями в Республике Мордовия
 от 12.11.2014</t>
  </si>
  <si>
    <t>5.1.2.19.</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</si>
  <si>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</si>
  <si>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</si>
  <si>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0104|0113|0409|0502|0503|0603|</t>
  </si>
  <si>
    <t>5.1.3.3.</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</si>
  <si>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</si>
  <si>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5.1.3.22.</t>
  </si>
  <si>
    <t>ст.15 ч.1 п.14</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</si>
  <si>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</si>
  <si>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5.1.3.31.</t>
  </si>
  <si>
    <t>ст.15 ч.1 п. 19.3</t>
  </si>
  <si>
    <t>осуществление мероприятий по обеспечению безопасности людей на водных объектах, охране их жизни и здоровья</t>
  </si>
  <si>
    <t>5.1.3.35.</t>
  </si>
  <si>
    <t>ст.15 ч.1 п.24</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</si>
  <si>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</si>
  <si>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5.1.3.44.</t>
  </si>
  <si>
    <t>ст.15 ч.1 п.28</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</si>
  <si>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</si>
  <si>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5.1.3.51.</t>
  </si>
  <si>
    <t xml:space="preserve">Федеральный закон № 131-ФЗ "Об общих принципах организации местного самоуправления в Российской Федерации" от 06.10.2003 </t>
  </si>
  <si>
    <t>(ст.14 ч.4 )</t>
  </si>
  <si>
    <t>(ст.15 ч.4 )</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</si>
  <si>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</si>
  <si>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5.1.3.65.</t>
  </si>
  <si>
    <t>ст.14 ч.4</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</si>
  <si>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</si>
  <si>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</si>
  <si>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</si>
  <si>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</si>
  <si>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0102|0104|0113|1001|1301|</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</si>
  <si>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</si>
  <si>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</si>
  <si>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</si>
  <si>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</si>
  <si>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</si>
  <si>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</si>
  <si>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</si>
  <si>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</si>
  <si>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</si>
  <si>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</si>
  <si>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</si>
  <si>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</si>
  <si>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</si>
  <si>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</si>
  <si>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</si>
  <si>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</si>
  <si>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</si>
  <si>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</si>
  <si>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</si>
  <si>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</si>
  <si>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</si>
  <si>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</si>
  <si>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</si>
  <si>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</si>
  <si>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Дата подписания: 30.04.2021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</si>
</sst>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
    <numFmt numFmtId="166" formatCode="#,##0.0000"/>
  </numFmts>
  <fonts count="10" x14ac:knownFonts="1">
    <font>
      <sz val="10"/>
      <color rgb="FF000000"/>
      <name val="Times New Roman"/>
    </font>
    <font>
      <b/>
      <sz val="9"/>
      <color rgb="FF000000"/>
      <name val="Trebuchet MS"/>
      <family val="2"/>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
      <sz val="9"/>
      <color rgb="FF000000"/>
      <name val="Times New Roman"/>
      <family val="1"/>
      <charset val="204"/>
    </font>
    <font>
      <shadow/>
      <sz val="9"/>
      <color theme="1"/>
      <name val="Times New Roman"/>
      <family val="1"/>
      <charset val="204"/>
    </font>
    <font>
      <u/>
      <sz val="9"/>
      <color rgb="FF000000"/>
      <name val="Trebuchet MS"/>
      <family val="2"/>
      <charset val="204"/>
    </font>
    <font>
      <sz val="9"/>
      <color rgb="FF000000"/>
      <name val="Times New Roman"/>
    </font>
    <font>
      <sz val="9"/>
      <name val="Times New Roman"/>
      <family val="1"/>
      <charset val="204"/>
    </font>
  </fonts>
  <fills count="2">
    <fill>
      <patternFill patternType="none"/>
    </fill>
    <fill>
      <patternFill patternType="gray125"/>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s>
  <cellStyleXfs count="1">
    <xf numFmtId="0" fontId="0" fillId="0" borderId="0">
      <alignment vertical="top" wrapText="1"/>
    </xf>
  </cellStyleXfs>
  <cellXfs count="116">
    <xf numFmtId="0" fontId="0" fillId="0" borderId="0" xfId="0" applyFont="1" applyFill="1" applyAlignment="1">
      <alignment vertical="top" wrapText="1"/>
    </xf>
    <xf numFmtId="164" fontId="2" fillId="0" borderId="1" xfId="0" applyNumberFormat="1"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0" fontId="3" fillId="0" borderId="0" xfId="0" applyFont="1" applyFill="1" applyAlignment="1">
      <alignmen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164" fontId="2" fillId="0" borderId="0" xfId="0" applyNumberFormat="1" applyFont="1" applyFill="1" applyBorder="1" applyAlignment="1">
      <alignment horizontal="center" vertical="top" wrapText="1"/>
    </xf>
    <xf numFmtId="0" fontId="2" fillId="0" borderId="7" xfId="0" applyFont="1" applyFill="1" applyBorder="1" applyAlignment="1">
      <alignment horizontal="left" vertical="top" wrapText="1"/>
    </xf>
    <xf numFmtId="0" fontId="2" fillId="0" borderId="7" xfId="0" applyFont="1" applyFill="1" applyBorder="1" applyAlignment="1">
      <alignment horizontal="center" vertical="top" wrapText="1"/>
    </xf>
    <xf numFmtId="164" fontId="2" fillId="0" borderId="7" xfId="0" applyNumberFormat="1" applyFont="1" applyFill="1" applyBorder="1" applyAlignment="1">
      <alignment horizontal="center" vertical="top" wrapText="1"/>
    </xf>
    <xf numFmtId="0" fontId="4" fillId="0" borderId="0" xfId="0" applyFont="1" applyFill="1" applyBorder="1" applyAlignment="1">
      <alignment horizontal="center" vertical="top" wrapText="1"/>
    </xf>
    <xf numFmtId="0" fontId="2" fillId="0" borderId="8" xfId="0" applyFont="1" applyFill="1" applyBorder="1" applyAlignment="1">
      <alignment horizontal="left" vertical="top" wrapText="1"/>
    </xf>
    <xf numFmtId="0" fontId="2" fillId="0" borderId="8" xfId="0" applyFont="1" applyFill="1" applyBorder="1" applyAlignment="1">
      <alignment horizontal="center" vertical="top" wrapText="1"/>
    </xf>
    <xf numFmtId="164" fontId="2" fillId="0" borderId="8" xfId="0" applyNumberFormat="1" applyFont="1" applyFill="1" applyBorder="1" applyAlignment="1">
      <alignment horizontal="center" vertical="top" wrapText="1"/>
    </xf>
    <xf numFmtId="49" fontId="5" fillId="0" borderId="8" xfId="0" applyNumberFormat="1" applyFont="1" applyFill="1" applyBorder="1" applyAlignment="1">
      <alignment horizontal="center" vertical="top" wrapText="1"/>
    </xf>
    <xf numFmtId="0" fontId="5" fillId="0" borderId="8" xfId="0" applyFont="1" applyFill="1" applyBorder="1" applyAlignment="1">
      <alignment horizontal="left" vertical="top" wrapText="1"/>
    </xf>
    <xf numFmtId="0" fontId="5" fillId="0" borderId="1" xfId="0" applyFont="1" applyFill="1" applyBorder="1" applyAlignment="1">
      <alignment horizontal="center" vertical="top" wrapText="1"/>
    </xf>
    <xf numFmtId="0" fontId="5" fillId="0" borderId="1"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0" xfId="0" applyFont="1" applyFill="1" applyBorder="1" applyAlignment="1">
      <alignment horizontal="center" vertical="top" wrapText="1"/>
    </xf>
    <xf numFmtId="164" fontId="2" fillId="0" borderId="10" xfId="0" applyNumberFormat="1" applyFont="1" applyFill="1" applyBorder="1" applyAlignment="1">
      <alignment horizontal="center" vertical="top" wrapText="1"/>
    </xf>
    <xf numFmtId="0" fontId="5" fillId="0" borderId="9" xfId="0" applyFont="1" applyFill="1" applyBorder="1" applyAlignment="1">
      <alignment horizontal="left" vertical="top" wrapText="1"/>
    </xf>
    <xf numFmtId="0" fontId="5" fillId="0" borderId="9" xfId="0" applyFont="1" applyFill="1" applyBorder="1" applyAlignment="1">
      <alignment horizontal="center" vertical="top" wrapText="1"/>
    </xf>
    <xf numFmtId="0" fontId="2" fillId="0" borderId="9" xfId="0" applyFont="1" applyFill="1" applyBorder="1" applyAlignment="1">
      <alignment horizontal="center" vertical="top" wrapText="1"/>
    </xf>
    <xf numFmtId="164" fontId="2" fillId="0" borderId="9" xfId="0" applyNumberFormat="1" applyFont="1" applyFill="1" applyBorder="1" applyAlignment="1">
      <alignment horizontal="center"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top" wrapText="1"/>
    </xf>
    <xf numFmtId="0" fontId="2" fillId="0" borderId="8" xfId="0" applyFont="1" applyFill="1" applyBorder="1" applyAlignment="1">
      <alignment horizontal="center" vertical="top" wrapText="1"/>
    </xf>
    <xf numFmtId="164" fontId="2" fillId="0" borderId="8" xfId="0" applyNumberFormat="1" applyFont="1" applyFill="1" applyBorder="1" applyAlignment="1">
      <alignment horizontal="center" vertical="top" wrapText="1"/>
    </xf>
    <xf numFmtId="164" fontId="2" fillId="0" borderId="10" xfId="0" applyNumberFormat="1" applyFont="1" applyFill="1" applyBorder="1" applyAlignment="1">
      <alignment horizontal="center" vertical="top" wrapText="1"/>
    </xf>
    <xf numFmtId="14" fontId="2" fillId="0" borderId="1" xfId="0" applyNumberFormat="1" applyFont="1" applyFill="1" applyBorder="1" applyAlignment="1">
      <alignment horizontal="center" vertical="top" wrapText="1"/>
    </xf>
    <xf numFmtId="14" fontId="2" fillId="0" borderId="8" xfId="0" applyNumberFormat="1" applyFont="1" applyFill="1" applyBorder="1" applyAlignment="1">
      <alignment horizontal="center" vertical="top" wrapText="1"/>
    </xf>
    <xf numFmtId="0" fontId="6" fillId="0" borderId="0" xfId="0" applyFont="1" applyFill="1" applyAlignment="1">
      <alignment horizontal="center" vertical="center" wrapText="1" readingOrder="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0" fontId="5" fillId="0" borderId="13"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1" xfId="0" applyFont="1" applyFill="1" applyBorder="1" applyAlignment="1">
      <alignment horizontal="center" vertical="top" wrapText="1"/>
    </xf>
    <xf numFmtId="165" fontId="0" fillId="0" borderId="0" xfId="0" applyNumberFormat="1" applyFont="1" applyFill="1" applyAlignment="1">
      <alignment vertical="top" wrapText="1"/>
    </xf>
    <xf numFmtId="0" fontId="2" fillId="0" borderId="8" xfId="0" applyFont="1" applyFill="1" applyBorder="1" applyAlignment="1">
      <alignment horizontal="center" vertical="top" wrapText="1"/>
    </xf>
    <xf numFmtId="0" fontId="2" fillId="0" borderId="1" xfId="0" applyFont="1" applyFill="1" applyBorder="1" applyAlignment="1">
      <alignment horizontal="center" vertical="top" wrapText="1"/>
    </xf>
    <xf numFmtId="164" fontId="0" fillId="0" borderId="0" xfId="0" applyNumberFormat="1" applyFont="1" applyFill="1" applyAlignment="1">
      <alignment vertical="top" wrapText="1"/>
    </xf>
    <xf numFmtId="14" fontId="2" fillId="0" borderId="8" xfId="0" applyNumberFormat="1" applyFont="1" applyFill="1" applyBorder="1" applyAlignment="1">
      <alignment vertical="top" wrapText="1"/>
    </xf>
    <xf numFmtId="49" fontId="2" fillId="0" borderId="8" xfId="0" applyNumberFormat="1" applyFont="1" applyFill="1" applyBorder="1" applyAlignment="1">
      <alignment horizontal="center"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166" fontId="0" fillId="0" borderId="0" xfId="0" applyNumberFormat="1" applyFont="1" applyFill="1" applyAlignment="1">
      <alignment vertical="top" wrapText="1"/>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2" fillId="0" borderId="2" xfId="0" applyFont="1" applyBorder="1" applyAlignment="1">
      <alignment horizontal="center"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2" fillId="0" borderId="8"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9" xfId="0" applyFont="1" applyBorder="1">
      <alignment vertical="top" wrapText="1"/>
    </xf>
    <xf numFmtId="164" fontId="2" fillId="0" borderId="1" xfId="0" applyNumberFormat="1" applyFont="1" applyBorder="1" applyAlignment="1">
      <alignment horizontal="center" vertical="top" wrapText="1"/>
    </xf>
    <xf numFmtId="0" fontId="2" fillId="0" borderId="9" xfId="0" applyFont="1" applyBorder="1" applyAlignment="1">
      <alignment horizontal="center" vertical="top" wrapText="1"/>
    </xf>
    <xf numFmtId="14" fontId="2" fillId="0" borderId="9" xfId="0" applyNumberFormat="1" applyFont="1" applyBorder="1">
      <alignment vertical="top" wrapText="1"/>
    </xf>
    <xf numFmtId="164" fontId="2" fillId="0" borderId="9" xfId="0" applyNumberFormat="1" applyFont="1" applyBorder="1" applyAlignment="1">
      <alignment horizontal="center" vertical="top" wrapText="1"/>
    </xf>
    <xf numFmtId="0" fontId="2" fillId="0" borderId="8" xfId="0" applyFont="1" applyBorder="1" applyAlignment="1">
      <alignment horizontal="center" vertical="top" wrapText="1"/>
    </xf>
    <xf numFmtId="0" fontId="2" fillId="0" borderId="14" xfId="0" applyFont="1" applyBorder="1" applyAlignment="1">
      <alignment horizontal="center" vertical="top" wrapText="1"/>
    </xf>
    <xf numFmtId="0" fontId="2" fillId="0" borderId="15" xfId="0" applyFont="1" applyBorder="1" applyAlignment="1">
      <alignment horizontal="center" vertical="top" wrapText="1"/>
    </xf>
    <xf numFmtId="14" fontId="2" fillId="0" borderId="15" xfId="0" applyNumberFormat="1" applyFont="1" applyBorder="1">
      <alignment vertical="top" wrapText="1"/>
    </xf>
    <xf numFmtId="164" fontId="2" fillId="0" borderId="8" xfId="0" applyNumberFormat="1" applyFont="1" applyBorder="1" applyAlignment="1">
      <alignment horizontal="center" vertical="top" wrapText="1"/>
    </xf>
    <xf numFmtId="164" fontId="2" fillId="0" borderId="15" xfId="0" applyNumberFormat="1" applyFont="1" applyBorder="1" applyAlignment="1">
      <alignment horizontal="center" vertical="top" wrapText="1"/>
    </xf>
    <xf numFmtId="0" fontId="2" fillId="0" borderId="15" xfId="0" applyFont="1" applyBorder="1">
      <alignment vertical="top" wrapText="1"/>
    </xf>
    <xf numFmtId="0" fontId="2" fillId="0" borderId="15"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10" xfId="0" applyFont="1" applyBorder="1" applyAlignment="1">
      <alignment horizontal="center" vertical="top" wrapText="1"/>
    </xf>
    <xf numFmtId="0" fontId="2" fillId="0" borderId="16" xfId="0" applyFont="1" applyBorder="1" applyAlignment="1">
      <alignment horizontal="center" vertical="top" wrapText="1"/>
    </xf>
    <xf numFmtId="0" fontId="2" fillId="0" borderId="13" xfId="0" applyFont="1" applyBorder="1">
      <alignment vertical="top" wrapText="1"/>
    </xf>
    <xf numFmtId="164" fontId="9" fillId="0" borderId="10" xfId="0" applyNumberFormat="1" applyFont="1" applyBorder="1" applyAlignment="1">
      <alignment horizontal="center" vertical="top" wrapText="1"/>
    </xf>
    <xf numFmtId="164" fontId="9" fillId="0" borderId="13" xfId="0" applyNumberFormat="1" applyFont="1" applyBorder="1" applyAlignment="1">
      <alignment horizontal="center" vertical="top" wrapText="1"/>
    </xf>
    <xf numFmtId="164" fontId="2" fillId="0" borderId="13" xfId="0" applyNumberFormat="1"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8" xfId="0" applyFont="1" applyBorder="1" applyAlignment="1">
      <alignment horizontal="left" vertical="top" wrapText="1"/>
    </xf>
    <xf numFmtId="0" fontId="2" fillId="0" borderId="10" xfId="0" applyFont="1" applyBorder="1" applyAlignment="1">
      <alignment horizontal="left" vertical="top" wrapText="1"/>
    </xf>
    <xf numFmtId="0" fontId="2" fillId="0" borderId="8"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8" xfId="0" applyFont="1" applyFill="1" applyBorder="1" applyAlignment="1">
      <alignment horizontal="left" vertical="top" wrapText="1"/>
    </xf>
    <xf numFmtId="0" fontId="2" fillId="0" borderId="11"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1" xfId="0" applyFont="1" applyFill="1" applyBorder="1" applyAlignment="1">
      <alignment horizontal="center" vertical="top" wrapText="1"/>
    </xf>
    <xf numFmtId="164" fontId="2" fillId="0" borderId="8" xfId="0" applyNumberFormat="1" applyFont="1" applyFill="1" applyBorder="1" applyAlignment="1">
      <alignment horizontal="center" vertical="top" wrapText="1"/>
    </xf>
    <xf numFmtId="164" fontId="2" fillId="0" borderId="10" xfId="0" applyNumberFormat="1" applyFont="1" applyFill="1" applyBorder="1" applyAlignment="1">
      <alignment horizontal="center" vertical="top" wrapText="1"/>
    </xf>
    <xf numFmtId="0" fontId="4" fillId="0" borderId="6" xfId="0" applyFont="1" applyFill="1" applyBorder="1" applyAlignment="1">
      <alignment horizontal="center" vertical="top" wrapText="1"/>
    </xf>
    <xf numFmtId="0" fontId="3" fillId="0" borderId="0" xfId="0" applyFont="1" applyFill="1" applyAlignment="1">
      <alignment horizontal="left" vertical="top" wrapText="1"/>
    </xf>
    <xf numFmtId="0" fontId="0" fillId="0" borderId="5" xfId="0" applyFont="1" applyFill="1" applyBorder="1" applyAlignment="1">
      <alignment horizontal="center" vertical="top" wrapText="1"/>
    </xf>
    <xf numFmtId="0" fontId="3" fillId="0" borderId="5" xfId="0" applyFont="1" applyFill="1" applyBorder="1" applyAlignment="1">
      <alignment horizontal="center" wrapText="1"/>
    </xf>
    <xf numFmtId="0" fontId="0" fillId="0" borderId="5" xfId="0" applyFont="1" applyFill="1" applyBorder="1" applyAlignment="1">
      <alignment horizontal="center" wrapText="1"/>
    </xf>
    <xf numFmtId="0" fontId="0" fillId="0" borderId="0" xfId="0" applyFont="1" applyFill="1" applyAlignment="1">
      <alignment horizontal="left"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14" fontId="2" fillId="0" borderId="8" xfId="0" applyNumberFormat="1" applyFont="1" applyFill="1" applyBorder="1" applyAlignment="1">
      <alignment horizontal="center" vertical="top" wrapText="1"/>
    </xf>
    <xf numFmtId="14" fontId="2" fillId="0" borderId="10" xfId="0" applyNumberFormat="1" applyFont="1" applyFill="1" applyBorder="1" applyAlignment="1">
      <alignment horizontal="center" vertical="top" wrapText="1"/>
    </xf>
    <xf numFmtId="0" fontId="2"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7" fillId="0" borderId="1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8" fillId="0" borderId="10" xfId="0" applyFont="1" applyBorder="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721F9-9CF3-49E7-9A33-1843102A4D46}">
  <dimension ref="A1:U279"/>
  <sheetViews>
    <sheetView tabSelected="1" view="pageBreakPreview" zoomScale="91" zoomScaleNormal="100" zoomScaleSheetLayoutView="91" workbookViewId="0">
      <pane xSplit="12" ySplit="9" topLeftCell="M271" activePane="bottomRight" state="frozen"/>
      <selection pane="topRight" activeCell="M1" sqref="M1"/>
      <selection pane="bottomLeft" activeCell="A10" sqref="A10"/>
      <selection pane="bottomRight" activeCell="G276" sqref="G276"/>
    </sheetView>
  </sheetViews>
  <sheetFormatPr defaultRowHeight="12.75" x14ac:dyDescent="0.2"/>
  <cols>
    <col min="1" max="1" width="58.33203125"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4" width="16.33203125" customWidth="1"/>
    <col min="15" max="15" width="12" customWidth="1"/>
    <col min="16" max="18" width="14.1640625" customWidth="1"/>
    <col min="19" max="19" width="16" customWidth="1"/>
    <col min="20" max="20" width="15.1640625" customWidth="1"/>
    <col min="21" max="21" width="13.33203125" bestFit="1" customWidth="1"/>
  </cols>
  <sheetData>
    <row r="1" spans="1:21" x14ac:dyDescent="0.2">
      <c r="A1" t="s">
        <v>0</v>
      </c>
    </row>
    <row r="2" spans="1:21" ht="29.25" customHeight="1" x14ac:dyDescent="0.2">
      <c r="A2" s="108" t="s">
        <v>434</v>
      </c>
      <c r="B2" s="108"/>
      <c r="C2" s="108"/>
      <c r="D2" s="108"/>
      <c r="E2" s="108"/>
      <c r="F2" s="108"/>
      <c r="G2" s="108"/>
      <c r="H2" s="108"/>
      <c r="I2" s="108"/>
      <c r="J2" s="108"/>
      <c r="K2" s="108"/>
      <c r="L2" s="108"/>
      <c r="M2" s="108"/>
      <c r="N2" s="108"/>
      <c r="O2" s="108"/>
      <c r="P2" s="108"/>
      <c r="Q2" s="108"/>
      <c r="R2" s="108"/>
      <c r="S2" s="108"/>
    </row>
    <row r="3" spans="1:21" ht="18" customHeight="1" x14ac:dyDescent="0.2">
      <c r="A3" s="108" t="s">
        <v>0</v>
      </c>
      <c r="B3" s="108"/>
      <c r="C3" s="108"/>
      <c r="D3" s="108"/>
      <c r="E3" s="108"/>
      <c r="F3" s="108"/>
      <c r="G3" s="108"/>
      <c r="H3" s="108"/>
      <c r="I3" s="108"/>
      <c r="J3" s="108"/>
      <c r="K3" s="108"/>
      <c r="L3" s="108"/>
      <c r="M3" s="108"/>
      <c r="N3" s="108"/>
      <c r="O3" s="108"/>
      <c r="P3" s="108"/>
      <c r="Q3" s="108"/>
      <c r="R3" s="108"/>
      <c r="S3" s="108"/>
    </row>
    <row r="4" spans="1:21" ht="15" customHeight="1" x14ac:dyDescent="0.2">
      <c r="A4" s="109" t="s">
        <v>504</v>
      </c>
      <c r="B4" s="109"/>
      <c r="C4" s="109"/>
      <c r="D4" s="109"/>
      <c r="E4" s="109"/>
      <c r="F4" s="109"/>
      <c r="G4" s="109"/>
      <c r="H4" s="109"/>
      <c r="I4" s="109"/>
      <c r="J4" s="109"/>
      <c r="K4" s="109"/>
      <c r="L4" s="109"/>
      <c r="M4" s="109"/>
      <c r="N4" s="109"/>
      <c r="O4" s="109"/>
      <c r="P4" s="109"/>
      <c r="Q4" s="109"/>
      <c r="R4" s="109"/>
      <c r="S4" s="109"/>
    </row>
    <row r="5" spans="1:21" x14ac:dyDescent="0.2">
      <c r="A5" s="107" t="s">
        <v>1</v>
      </c>
      <c r="B5" s="107" t="s">
        <v>2</v>
      </c>
      <c r="C5" s="107" t="s">
        <v>3</v>
      </c>
      <c r="D5" s="107"/>
      <c r="E5" s="107"/>
      <c r="F5" s="107"/>
      <c r="G5" s="107"/>
      <c r="H5" s="107"/>
      <c r="I5" s="107"/>
      <c r="J5" s="107"/>
      <c r="K5" s="107"/>
      <c r="L5" s="107" t="s">
        <v>4</v>
      </c>
      <c r="M5" s="107" t="s">
        <v>5</v>
      </c>
      <c r="N5" s="107"/>
      <c r="O5" s="107"/>
      <c r="P5" s="107"/>
      <c r="Q5" s="107"/>
      <c r="R5" s="107"/>
      <c r="S5" s="107" t="s">
        <v>409</v>
      </c>
    </row>
    <row r="6" spans="1:21" ht="31.5" customHeight="1" x14ac:dyDescent="0.2">
      <c r="A6" s="107" t="s">
        <v>0</v>
      </c>
      <c r="B6" s="107" t="s">
        <v>0</v>
      </c>
      <c r="C6" s="110" t="s">
        <v>408</v>
      </c>
      <c r="D6" s="111"/>
      <c r="E6" s="111"/>
      <c r="F6" s="111"/>
      <c r="G6" s="111"/>
      <c r="H6" s="111"/>
      <c r="I6" s="111"/>
      <c r="J6" s="111"/>
      <c r="K6" s="112"/>
      <c r="L6" s="107" t="s">
        <v>0</v>
      </c>
      <c r="M6" s="107" t="s">
        <v>505</v>
      </c>
      <c r="N6" s="107"/>
      <c r="O6" s="3" t="s">
        <v>506</v>
      </c>
      <c r="P6" s="3" t="s">
        <v>507</v>
      </c>
      <c r="Q6" s="110" t="s">
        <v>502</v>
      </c>
      <c r="R6" s="112"/>
      <c r="S6" s="107" t="s">
        <v>0</v>
      </c>
    </row>
    <row r="7" spans="1:21" x14ac:dyDescent="0.2">
      <c r="A7" s="107" t="s">
        <v>0</v>
      </c>
      <c r="B7" s="107" t="s">
        <v>0</v>
      </c>
      <c r="C7" s="107" t="s">
        <v>405</v>
      </c>
      <c r="D7" s="107"/>
      <c r="E7" s="107"/>
      <c r="F7" s="107" t="s">
        <v>406</v>
      </c>
      <c r="G7" s="107"/>
      <c r="H7" s="107"/>
      <c r="I7" s="107" t="s">
        <v>407</v>
      </c>
      <c r="J7" s="107"/>
      <c r="K7" s="107"/>
      <c r="L7" s="107" t="s">
        <v>0</v>
      </c>
      <c r="M7" s="107" t="s">
        <v>6</v>
      </c>
      <c r="N7" s="107"/>
      <c r="O7" s="107" t="s">
        <v>6</v>
      </c>
      <c r="P7" s="107" t="s">
        <v>6</v>
      </c>
      <c r="Q7" s="29" t="s">
        <v>503</v>
      </c>
      <c r="R7" s="29" t="s">
        <v>508</v>
      </c>
      <c r="S7" s="107" t="s">
        <v>0</v>
      </c>
    </row>
    <row r="8" spans="1:21" ht="60" x14ac:dyDescent="0.2">
      <c r="A8" s="107" t="s">
        <v>0</v>
      </c>
      <c r="B8" s="107" t="s">
        <v>0</v>
      </c>
      <c r="C8" s="3" t="s">
        <v>7</v>
      </c>
      <c r="D8" s="3" t="s">
        <v>8</v>
      </c>
      <c r="E8" s="3" t="s">
        <v>9</v>
      </c>
      <c r="F8" s="3" t="s">
        <v>7</v>
      </c>
      <c r="G8" s="3" t="s">
        <v>8</v>
      </c>
      <c r="H8" s="3" t="s">
        <v>9</v>
      </c>
      <c r="I8" s="3" t="s">
        <v>7</v>
      </c>
      <c r="J8" s="3" t="s">
        <v>10</v>
      </c>
      <c r="K8" s="3" t="s">
        <v>9</v>
      </c>
      <c r="L8" s="3" t="s">
        <v>11</v>
      </c>
      <c r="M8" s="3" t="s">
        <v>12</v>
      </c>
      <c r="N8" s="3" t="s">
        <v>13</v>
      </c>
      <c r="O8" s="107" t="s">
        <v>0</v>
      </c>
      <c r="P8" s="107" t="s">
        <v>0</v>
      </c>
      <c r="Q8" s="29" t="s">
        <v>6</v>
      </c>
      <c r="R8" s="29" t="s">
        <v>6</v>
      </c>
      <c r="S8" s="107" t="s">
        <v>0</v>
      </c>
    </row>
    <row r="9" spans="1:21" x14ac:dyDescent="0.2">
      <c r="A9" s="2" t="s">
        <v>14</v>
      </c>
      <c r="B9" s="2" t="s">
        <v>15</v>
      </c>
      <c r="C9" s="2" t="s">
        <v>16</v>
      </c>
      <c r="D9" s="2" t="s">
        <v>17</v>
      </c>
      <c r="E9" s="2" t="s">
        <v>18</v>
      </c>
      <c r="F9" s="2">
        <v>6</v>
      </c>
      <c r="G9" s="2">
        <v>7</v>
      </c>
      <c r="H9" s="2">
        <v>8</v>
      </c>
      <c r="I9" s="2">
        <v>9</v>
      </c>
      <c r="J9" s="2">
        <v>10</v>
      </c>
      <c r="K9" s="2">
        <v>11</v>
      </c>
      <c r="L9" s="2">
        <v>12</v>
      </c>
      <c r="M9" s="2">
        <v>13</v>
      </c>
      <c r="N9" s="2">
        <v>14</v>
      </c>
      <c r="O9" s="2">
        <v>15</v>
      </c>
      <c r="P9" s="2">
        <v>16</v>
      </c>
      <c r="Q9" s="30">
        <v>17</v>
      </c>
      <c r="R9" s="2">
        <v>17</v>
      </c>
      <c r="S9" s="2">
        <v>19</v>
      </c>
    </row>
    <row r="10" spans="1:21" ht="135.75" customHeight="1" x14ac:dyDescent="0.2">
      <c r="A10" s="26" t="s">
        <v>19</v>
      </c>
      <c r="B10" s="27" t="s">
        <v>20</v>
      </c>
      <c r="C10" s="27" t="s">
        <v>0</v>
      </c>
      <c r="D10" s="27" t="s">
        <v>0</v>
      </c>
      <c r="E10" s="27" t="s">
        <v>0</v>
      </c>
      <c r="F10" s="27" t="s">
        <v>0</v>
      </c>
      <c r="G10" s="27" t="s">
        <v>0</v>
      </c>
      <c r="H10" s="27" t="s">
        <v>0</v>
      </c>
      <c r="I10" s="27" t="s">
        <v>0</v>
      </c>
      <c r="J10" s="27" t="s">
        <v>0</v>
      </c>
      <c r="K10" s="27" t="s">
        <v>0</v>
      </c>
      <c r="L10" s="27" t="s">
        <v>21</v>
      </c>
      <c r="M10" s="1">
        <f t="shared" ref="M10:R10" si="0">M11+M82+M110+M121+M147+M151+M165</f>
        <v>526381.40639999998</v>
      </c>
      <c r="N10" s="1">
        <f t="shared" si="0"/>
        <v>501050.57394999999</v>
      </c>
      <c r="O10" s="1">
        <f t="shared" si="0"/>
        <v>534751.28737999999</v>
      </c>
      <c r="P10" s="1">
        <f t="shared" si="0"/>
        <v>388897.11285000003</v>
      </c>
      <c r="Q10" s="1">
        <f t="shared" si="0"/>
        <v>350142.36031999998</v>
      </c>
      <c r="R10" s="1">
        <f t="shared" si="0"/>
        <v>531757.35</v>
      </c>
      <c r="S10" s="1" t="s">
        <v>0</v>
      </c>
      <c r="T10" s="45"/>
      <c r="U10" s="45"/>
    </row>
    <row r="11" spans="1:21" ht="78.75" customHeight="1" x14ac:dyDescent="0.2">
      <c r="A11" s="26" t="s">
        <v>22</v>
      </c>
      <c r="B11" s="27" t="s">
        <v>23</v>
      </c>
      <c r="C11" s="27" t="s">
        <v>0</v>
      </c>
      <c r="D11" s="27" t="s">
        <v>0</v>
      </c>
      <c r="E11" s="27" t="s">
        <v>0</v>
      </c>
      <c r="F11" s="27" t="s">
        <v>0</v>
      </c>
      <c r="G11" s="27" t="s">
        <v>0</v>
      </c>
      <c r="H11" s="27" t="s">
        <v>0</v>
      </c>
      <c r="I11" s="27" t="s">
        <v>0</v>
      </c>
      <c r="J11" s="27" t="s">
        <v>0</v>
      </c>
      <c r="K11" s="27" t="s">
        <v>0</v>
      </c>
      <c r="L11" s="27" t="s">
        <v>24</v>
      </c>
      <c r="M11" s="1">
        <f t="shared" ref="M11:R11" si="1">M12+M76</f>
        <v>204986.76499</v>
      </c>
      <c r="N11" s="1">
        <f t="shared" si="1"/>
        <v>194412.59474999999</v>
      </c>
      <c r="O11" s="1">
        <f t="shared" si="1"/>
        <v>295785.36268000002</v>
      </c>
      <c r="P11" s="1">
        <f t="shared" si="1"/>
        <v>129713.94455</v>
      </c>
      <c r="Q11" s="1">
        <f t="shared" si="1"/>
        <v>98863.588520000019</v>
      </c>
      <c r="R11" s="1">
        <f t="shared" si="1"/>
        <v>163473.94999999998</v>
      </c>
      <c r="S11" s="1" t="s">
        <v>0</v>
      </c>
      <c r="T11" s="42"/>
      <c r="U11" s="42"/>
    </row>
    <row r="12" spans="1:21" ht="63" customHeight="1" x14ac:dyDescent="0.2">
      <c r="A12" s="26" t="s">
        <v>25</v>
      </c>
      <c r="B12" s="27" t="s">
        <v>26</v>
      </c>
      <c r="C12" s="27" t="s">
        <v>0</v>
      </c>
      <c r="D12" s="27" t="s">
        <v>0</v>
      </c>
      <c r="E12" s="27" t="s">
        <v>0</v>
      </c>
      <c r="F12" s="27" t="s">
        <v>0</v>
      </c>
      <c r="G12" s="27" t="s">
        <v>0</v>
      </c>
      <c r="H12" s="27" t="s">
        <v>0</v>
      </c>
      <c r="I12" s="27" t="s">
        <v>0</v>
      </c>
      <c r="J12" s="27" t="s">
        <v>0</v>
      </c>
      <c r="K12" s="27" t="s">
        <v>0</v>
      </c>
      <c r="L12" s="27" t="s">
        <v>27</v>
      </c>
      <c r="M12" s="1">
        <f t="shared" ref="M12:R12" si="2">M13+M16+M18+M19+M25+M30+M32+M38+M41+M44+M47+M52+M55+M60+M62+M67+M70+M73+M59</f>
        <v>172113.2457</v>
      </c>
      <c r="N12" s="1">
        <f t="shared" si="2"/>
        <v>161539.07545999999</v>
      </c>
      <c r="O12" s="1">
        <f t="shared" si="2"/>
        <v>141325.64482000002</v>
      </c>
      <c r="P12" s="1">
        <f t="shared" si="2"/>
        <v>101771.10333</v>
      </c>
      <c r="Q12" s="1">
        <f t="shared" si="2"/>
        <v>98811.588520000019</v>
      </c>
      <c r="R12" s="1">
        <f t="shared" si="2"/>
        <v>163419.54999999999</v>
      </c>
      <c r="S12" s="1" t="s">
        <v>0</v>
      </c>
    </row>
    <row r="13" spans="1:21" ht="200.25" customHeight="1" x14ac:dyDescent="0.2">
      <c r="A13" s="103" t="s">
        <v>28</v>
      </c>
      <c r="B13" s="104" t="s">
        <v>29</v>
      </c>
      <c r="C13" s="27" t="s">
        <v>30</v>
      </c>
      <c r="D13" s="27" t="s">
        <v>31</v>
      </c>
      <c r="E13" s="27" t="s">
        <v>32</v>
      </c>
      <c r="F13" s="27" t="s">
        <v>0</v>
      </c>
      <c r="G13" s="27" t="s">
        <v>0</v>
      </c>
      <c r="H13" s="27" t="s">
        <v>0</v>
      </c>
      <c r="I13" s="27" t="s">
        <v>474</v>
      </c>
      <c r="J13" s="28" t="s">
        <v>34</v>
      </c>
      <c r="K13" s="34">
        <v>40374</v>
      </c>
      <c r="L13" s="27" t="s">
        <v>404</v>
      </c>
      <c r="M13" s="1">
        <f>98.15+20+66.30842+30+34+50+20+299.9+45.1</f>
        <v>663.45842000000005</v>
      </c>
      <c r="N13" s="1">
        <f>98.15+20+66.30842+30+34+50+20+299.9+45.1</f>
        <v>663.45842000000005</v>
      </c>
      <c r="O13" s="1">
        <f>300+115+50+50+30+20+50+20</f>
        <v>635</v>
      </c>
      <c r="P13" s="1">
        <f>390+300</f>
        <v>690</v>
      </c>
      <c r="Q13" s="1">
        <f>350+300</f>
        <v>650</v>
      </c>
      <c r="R13" s="1">
        <f>405.6+300</f>
        <v>705.6</v>
      </c>
      <c r="S13" s="1" t="s">
        <v>0</v>
      </c>
    </row>
    <row r="14" spans="1:21" ht="233.25" customHeight="1" x14ac:dyDescent="0.2">
      <c r="A14" s="103"/>
      <c r="B14" s="104"/>
      <c r="C14" s="27" t="s">
        <v>33</v>
      </c>
      <c r="D14" s="27" t="s">
        <v>34</v>
      </c>
      <c r="E14" s="27" t="s">
        <v>35</v>
      </c>
      <c r="F14" s="27"/>
      <c r="G14" s="27"/>
      <c r="H14" s="27"/>
      <c r="I14" s="40" t="s">
        <v>478</v>
      </c>
      <c r="J14" s="43" t="s">
        <v>34</v>
      </c>
      <c r="K14" s="46">
        <v>43641</v>
      </c>
      <c r="L14" s="89" t="s">
        <v>0</v>
      </c>
      <c r="M14" s="95" t="s">
        <v>0</v>
      </c>
      <c r="N14" s="95" t="s">
        <v>0</v>
      </c>
      <c r="O14" s="95" t="s">
        <v>0</v>
      </c>
      <c r="P14" s="95" t="s">
        <v>0</v>
      </c>
      <c r="Q14" s="95" t="s">
        <v>0</v>
      </c>
      <c r="R14" s="95"/>
      <c r="S14" s="95" t="s">
        <v>0</v>
      </c>
    </row>
    <row r="15" spans="1:21" ht="212.25" customHeight="1" x14ac:dyDescent="0.2">
      <c r="A15" s="103" t="s">
        <v>0</v>
      </c>
      <c r="B15" s="104" t="s">
        <v>0</v>
      </c>
      <c r="C15" s="27" t="s">
        <v>37</v>
      </c>
      <c r="D15" s="27" t="s">
        <v>38</v>
      </c>
      <c r="E15" s="27" t="s">
        <v>39</v>
      </c>
      <c r="F15" s="27" t="s">
        <v>0</v>
      </c>
      <c r="G15" s="27" t="s">
        <v>0</v>
      </c>
      <c r="H15" s="27" t="s">
        <v>0</v>
      </c>
      <c r="I15" s="41" t="s">
        <v>513</v>
      </c>
      <c r="J15" s="41" t="s">
        <v>34</v>
      </c>
      <c r="K15" s="34" t="s">
        <v>514</v>
      </c>
      <c r="L15" s="90"/>
      <c r="M15" s="96"/>
      <c r="N15" s="96"/>
      <c r="O15" s="96"/>
      <c r="P15" s="96"/>
      <c r="Q15" s="96"/>
      <c r="R15" s="96"/>
      <c r="S15" s="96"/>
    </row>
    <row r="16" spans="1:21" ht="138" customHeight="1" x14ac:dyDescent="0.2">
      <c r="A16" s="103" t="s">
        <v>40</v>
      </c>
      <c r="B16" s="104" t="s">
        <v>41</v>
      </c>
      <c r="C16" s="27" t="s">
        <v>435</v>
      </c>
      <c r="D16" s="27" t="s">
        <v>42</v>
      </c>
      <c r="E16" s="27" t="s">
        <v>43</v>
      </c>
      <c r="F16" s="27" t="s">
        <v>0</v>
      </c>
      <c r="G16" s="27" t="s">
        <v>0</v>
      </c>
      <c r="H16" s="27" t="s">
        <v>0</v>
      </c>
      <c r="I16" s="27" t="s">
        <v>410</v>
      </c>
      <c r="J16" s="27" t="s">
        <v>34</v>
      </c>
      <c r="K16" s="34">
        <v>41638</v>
      </c>
      <c r="L16" s="27" t="s">
        <v>44</v>
      </c>
      <c r="M16" s="1">
        <f>5116.23634+663.7</f>
        <v>5779.9363400000002</v>
      </c>
      <c r="N16" s="1">
        <f>3737.377+643.64695</f>
        <v>4381.0239499999998</v>
      </c>
      <c r="O16" s="1">
        <v>4511.52261</v>
      </c>
      <c r="P16" s="1">
        <f>2727.9</f>
        <v>2727.9</v>
      </c>
      <c r="Q16" s="1">
        <f>2810.4</f>
        <v>2810.4</v>
      </c>
      <c r="R16" s="1">
        <v>2922.8</v>
      </c>
      <c r="S16" s="1" t="s">
        <v>0</v>
      </c>
    </row>
    <row r="17" spans="1:20" ht="163.5" customHeight="1" x14ac:dyDescent="0.2">
      <c r="A17" s="103" t="s">
        <v>0</v>
      </c>
      <c r="B17" s="104" t="s">
        <v>0</v>
      </c>
      <c r="C17" s="27" t="s">
        <v>30</v>
      </c>
      <c r="D17" s="27" t="s">
        <v>45</v>
      </c>
      <c r="E17" s="27" t="s">
        <v>32</v>
      </c>
      <c r="F17" s="27" t="s">
        <v>0</v>
      </c>
      <c r="G17" s="27" t="s">
        <v>0</v>
      </c>
      <c r="H17" s="27" t="s">
        <v>0</v>
      </c>
      <c r="I17" s="27" t="s">
        <v>479</v>
      </c>
      <c r="J17" s="27" t="s">
        <v>34</v>
      </c>
      <c r="K17" s="34">
        <v>42325</v>
      </c>
      <c r="L17" s="27" t="s">
        <v>0</v>
      </c>
      <c r="M17" s="1" t="s">
        <v>0</v>
      </c>
      <c r="N17" s="1" t="s">
        <v>0</v>
      </c>
      <c r="O17" s="1" t="s">
        <v>0</v>
      </c>
      <c r="P17" s="1" t="s">
        <v>0</v>
      </c>
      <c r="Q17" s="1" t="s">
        <v>0</v>
      </c>
      <c r="R17" s="1"/>
      <c r="S17" s="1" t="s">
        <v>0</v>
      </c>
    </row>
    <row r="18" spans="1:20" ht="188.25" customHeight="1" x14ac:dyDescent="0.2">
      <c r="A18" s="26" t="s">
        <v>46</v>
      </c>
      <c r="B18" s="27" t="s">
        <v>47</v>
      </c>
      <c r="C18" s="27" t="s">
        <v>30</v>
      </c>
      <c r="D18" s="27" t="s">
        <v>48</v>
      </c>
      <c r="E18" s="27" t="s">
        <v>32</v>
      </c>
      <c r="F18" s="27" t="s">
        <v>0</v>
      </c>
      <c r="G18" s="27" t="s">
        <v>0</v>
      </c>
      <c r="H18" s="27" t="s">
        <v>0</v>
      </c>
      <c r="I18" s="27" t="s">
        <v>480</v>
      </c>
      <c r="J18" s="27" t="s">
        <v>34</v>
      </c>
      <c r="K18" s="34">
        <v>41624</v>
      </c>
      <c r="L18" s="17" t="s">
        <v>458</v>
      </c>
      <c r="M18" s="1">
        <f>23.01+20</f>
        <v>43.010000000000005</v>
      </c>
      <c r="N18" s="1">
        <f>23.01+20</f>
        <v>43.010000000000005</v>
      </c>
      <c r="O18" s="1">
        <f>45</f>
        <v>45</v>
      </c>
      <c r="P18" s="1">
        <f>45</f>
        <v>45</v>
      </c>
      <c r="Q18" s="1">
        <f>45</f>
        <v>45</v>
      </c>
      <c r="R18" s="1">
        <f>45</f>
        <v>45</v>
      </c>
      <c r="S18" s="1"/>
    </row>
    <row r="19" spans="1:20" ht="87.75" customHeight="1" x14ac:dyDescent="0.2">
      <c r="A19" s="91" t="s">
        <v>49</v>
      </c>
      <c r="B19" s="89" t="s">
        <v>50</v>
      </c>
      <c r="C19" s="27" t="s">
        <v>51</v>
      </c>
      <c r="D19" s="27" t="s">
        <v>52</v>
      </c>
      <c r="E19" s="27" t="s">
        <v>53</v>
      </c>
      <c r="F19" s="27" t="s">
        <v>0</v>
      </c>
      <c r="G19" s="27" t="s">
        <v>0</v>
      </c>
      <c r="H19" s="27" t="s">
        <v>0</v>
      </c>
      <c r="I19" s="27" t="s">
        <v>414</v>
      </c>
      <c r="J19" s="27" t="s">
        <v>419</v>
      </c>
      <c r="K19" s="34">
        <v>38717</v>
      </c>
      <c r="L19" s="27" t="s">
        <v>54</v>
      </c>
      <c r="M19" s="1">
        <f>15456.13865+1301.74155+95.164+11.5+15</f>
        <v>16879.5442</v>
      </c>
      <c r="N19" s="1">
        <f>13679.3546+1301.74155+95.164+11.494+15</f>
        <v>15102.754150000002</v>
      </c>
      <c r="O19" s="1">
        <f>17667.9+404.5+11.5+15+15</f>
        <v>18113.900000000001</v>
      </c>
      <c r="P19" s="1">
        <f>11.5+15+12369+15</f>
        <v>12410.5</v>
      </c>
      <c r="Q19" s="1">
        <f>11.5+15+12731.7+15</f>
        <v>12773.2</v>
      </c>
      <c r="R19" s="1">
        <f>24823.9+11.5+15+15</f>
        <v>24865.4</v>
      </c>
      <c r="S19" s="1" t="s">
        <v>0</v>
      </c>
    </row>
    <row r="20" spans="1:20" ht="247.5" customHeight="1" x14ac:dyDescent="0.2">
      <c r="A20" s="92"/>
      <c r="B20" s="94"/>
      <c r="C20" s="27" t="s">
        <v>30</v>
      </c>
      <c r="D20" s="27" t="s">
        <v>55</v>
      </c>
      <c r="E20" s="27" t="s">
        <v>32</v>
      </c>
      <c r="F20" s="27" t="s">
        <v>0</v>
      </c>
      <c r="G20" s="27" t="s">
        <v>0</v>
      </c>
      <c r="H20" s="27" t="s">
        <v>0</v>
      </c>
      <c r="I20" s="28" t="s">
        <v>457</v>
      </c>
      <c r="J20" s="27" t="s">
        <v>481</v>
      </c>
      <c r="K20" s="34">
        <v>42370</v>
      </c>
      <c r="L20" s="27" t="s">
        <v>0</v>
      </c>
      <c r="M20" s="1" t="s">
        <v>0</v>
      </c>
      <c r="N20" s="1" t="s">
        <v>0</v>
      </c>
      <c r="O20" s="1" t="s">
        <v>0</v>
      </c>
      <c r="P20" s="1" t="s">
        <v>0</v>
      </c>
      <c r="Q20" s="1" t="s">
        <v>0</v>
      </c>
      <c r="R20" s="1"/>
      <c r="S20" s="1" t="s">
        <v>0</v>
      </c>
    </row>
    <row r="21" spans="1:20" ht="161.25" customHeight="1" x14ac:dyDescent="0.2">
      <c r="A21" s="92"/>
      <c r="B21" s="94"/>
      <c r="C21" s="89" t="s">
        <v>56</v>
      </c>
      <c r="D21" s="89" t="s">
        <v>34</v>
      </c>
      <c r="E21" s="89" t="s">
        <v>57</v>
      </c>
      <c r="F21" s="89" t="s">
        <v>0</v>
      </c>
      <c r="G21" s="89" t="s">
        <v>0</v>
      </c>
      <c r="H21" s="89" t="s">
        <v>0</v>
      </c>
      <c r="I21" s="27" t="s">
        <v>468</v>
      </c>
      <c r="J21" s="27" t="s">
        <v>34</v>
      </c>
      <c r="K21" s="34">
        <v>42754</v>
      </c>
      <c r="L21" s="27"/>
      <c r="M21" s="1"/>
      <c r="N21" s="1"/>
      <c r="O21" s="1"/>
      <c r="P21" s="1"/>
      <c r="Q21" s="1"/>
      <c r="R21" s="1"/>
      <c r="S21" s="1"/>
    </row>
    <row r="22" spans="1:20" ht="161.25" customHeight="1" x14ac:dyDescent="0.2">
      <c r="A22" s="92"/>
      <c r="B22" s="94"/>
      <c r="C22" s="94"/>
      <c r="D22" s="94"/>
      <c r="E22" s="94"/>
      <c r="F22" s="94"/>
      <c r="G22" s="94"/>
      <c r="H22" s="94"/>
      <c r="I22" s="38" t="s">
        <v>510</v>
      </c>
      <c r="J22" s="38" t="s">
        <v>34</v>
      </c>
      <c r="K22" s="34">
        <v>42426</v>
      </c>
      <c r="L22" s="38"/>
      <c r="M22" s="1"/>
      <c r="N22" s="1"/>
      <c r="O22" s="1"/>
      <c r="P22" s="1"/>
      <c r="Q22" s="1"/>
      <c r="R22" s="1"/>
      <c r="S22" s="1"/>
    </row>
    <row r="23" spans="1:20" ht="214.5" customHeight="1" x14ac:dyDescent="0.2">
      <c r="A23" s="92"/>
      <c r="B23" s="94"/>
      <c r="C23" s="94"/>
      <c r="D23" s="94"/>
      <c r="E23" s="94"/>
      <c r="F23" s="94"/>
      <c r="G23" s="94"/>
      <c r="H23" s="94"/>
      <c r="I23" s="41" t="s">
        <v>513</v>
      </c>
      <c r="J23" s="41" t="s">
        <v>34</v>
      </c>
      <c r="K23" s="34" t="s">
        <v>514</v>
      </c>
      <c r="L23" s="41"/>
      <c r="M23" s="1"/>
      <c r="N23" s="1"/>
      <c r="O23" s="1"/>
      <c r="P23" s="1"/>
      <c r="Q23" s="1"/>
      <c r="R23" s="1"/>
      <c r="S23" s="1"/>
    </row>
    <row r="24" spans="1:20" ht="211.5" customHeight="1" x14ac:dyDescent="0.2">
      <c r="A24" s="93"/>
      <c r="B24" s="90"/>
      <c r="C24" s="90"/>
      <c r="D24" s="90"/>
      <c r="E24" s="90"/>
      <c r="F24" s="90"/>
      <c r="G24" s="90"/>
      <c r="H24" s="90"/>
      <c r="I24" s="38" t="s">
        <v>509</v>
      </c>
      <c r="J24" s="38" t="s">
        <v>34</v>
      </c>
      <c r="K24" s="34">
        <v>44194</v>
      </c>
      <c r="L24" s="38"/>
      <c r="M24" s="1"/>
      <c r="N24" s="1"/>
      <c r="O24" s="1"/>
      <c r="P24" s="1"/>
      <c r="Q24" s="1"/>
      <c r="R24" s="1"/>
      <c r="S24" s="1"/>
    </row>
    <row r="25" spans="1:20" ht="93" customHeight="1" x14ac:dyDescent="0.2">
      <c r="A25" s="103" t="s">
        <v>58</v>
      </c>
      <c r="B25" s="104" t="s">
        <v>59</v>
      </c>
      <c r="C25" s="27" t="s">
        <v>51</v>
      </c>
      <c r="D25" s="27" t="s">
        <v>52</v>
      </c>
      <c r="E25" s="27" t="s">
        <v>53</v>
      </c>
      <c r="F25" s="27" t="s">
        <v>0</v>
      </c>
      <c r="G25" s="27" t="s">
        <v>0</v>
      </c>
      <c r="H25" s="27" t="s">
        <v>0</v>
      </c>
      <c r="I25" s="27" t="s">
        <v>414</v>
      </c>
      <c r="J25" s="27" t="s">
        <v>419</v>
      </c>
      <c r="K25" s="34">
        <v>38717</v>
      </c>
      <c r="L25" s="27" t="s">
        <v>60</v>
      </c>
      <c r="M25" s="1">
        <f>14295.75753+2199.67772+500+81.6+15+23+2901.77335+3.5</f>
        <v>20020.3086</v>
      </c>
      <c r="N25" s="1">
        <f>11693.10824+2199.67772+500+81.6+15+22.988+2901.77335+3.448</f>
        <v>17417.595310000001</v>
      </c>
      <c r="O25" s="1">
        <f>12611.9+8671.32+23+15+20+3.5+2290.91</f>
        <v>23635.63</v>
      </c>
      <c r="P25" s="1">
        <f>8671.32+10322+3888.76+23+15+20+3.5</f>
        <v>22943.58</v>
      </c>
      <c r="Q25" s="1">
        <f>8671.32+10552.1+23+15+20+3.5</f>
        <v>19284.919999999998</v>
      </c>
      <c r="R25" s="1">
        <f>8671.32+16266+23+15+20+3.5</f>
        <v>24998.82</v>
      </c>
      <c r="S25" s="1" t="s">
        <v>0</v>
      </c>
      <c r="T25" s="42"/>
    </row>
    <row r="26" spans="1:20" ht="226.5" customHeight="1" x14ac:dyDescent="0.2">
      <c r="A26" s="103"/>
      <c r="B26" s="104"/>
      <c r="C26" s="89" t="s">
        <v>30</v>
      </c>
      <c r="D26" s="89" t="s">
        <v>55</v>
      </c>
      <c r="E26" s="89" t="s">
        <v>32</v>
      </c>
      <c r="F26" s="89" t="s">
        <v>0</v>
      </c>
      <c r="G26" s="89" t="s">
        <v>0</v>
      </c>
      <c r="H26" s="89" t="s">
        <v>0</v>
      </c>
      <c r="I26" s="41" t="s">
        <v>510</v>
      </c>
      <c r="J26" s="41" t="s">
        <v>34</v>
      </c>
      <c r="K26" s="34">
        <v>42426</v>
      </c>
      <c r="L26" s="41"/>
      <c r="M26" s="1"/>
      <c r="N26" s="1"/>
      <c r="O26" s="1"/>
      <c r="P26" s="1"/>
      <c r="Q26" s="1"/>
      <c r="R26" s="1"/>
      <c r="S26" s="1"/>
    </row>
    <row r="27" spans="1:20" ht="214.5" customHeight="1" x14ac:dyDescent="0.2">
      <c r="A27" s="103"/>
      <c r="B27" s="104"/>
      <c r="C27" s="94"/>
      <c r="D27" s="94"/>
      <c r="E27" s="94"/>
      <c r="F27" s="94"/>
      <c r="G27" s="94"/>
      <c r="H27" s="94"/>
      <c r="I27" s="41" t="s">
        <v>513</v>
      </c>
      <c r="J27" s="41" t="s">
        <v>34</v>
      </c>
      <c r="K27" s="34" t="s">
        <v>514</v>
      </c>
      <c r="L27" s="41"/>
      <c r="M27" s="1"/>
      <c r="N27" s="1"/>
      <c r="O27" s="1"/>
      <c r="P27" s="1"/>
      <c r="Q27" s="1"/>
      <c r="R27" s="1"/>
      <c r="S27" s="1"/>
    </row>
    <row r="28" spans="1:20" ht="216.75" customHeight="1" x14ac:dyDescent="0.2">
      <c r="A28" s="103"/>
      <c r="B28" s="104"/>
      <c r="C28" s="94"/>
      <c r="D28" s="94"/>
      <c r="E28" s="94"/>
      <c r="F28" s="94"/>
      <c r="G28" s="94"/>
      <c r="H28" s="94"/>
      <c r="I28" s="41" t="s">
        <v>509</v>
      </c>
      <c r="J28" s="41" t="s">
        <v>34</v>
      </c>
      <c r="K28" s="34">
        <v>44194</v>
      </c>
      <c r="L28" s="41"/>
      <c r="M28" s="1"/>
      <c r="N28" s="1"/>
      <c r="O28" s="1"/>
      <c r="P28" s="1"/>
      <c r="Q28" s="1"/>
      <c r="R28" s="1"/>
      <c r="S28" s="1"/>
    </row>
    <row r="29" spans="1:20" ht="252" x14ac:dyDescent="0.2">
      <c r="A29" s="103" t="s">
        <v>0</v>
      </c>
      <c r="B29" s="104" t="s">
        <v>0</v>
      </c>
      <c r="C29" s="90"/>
      <c r="D29" s="90"/>
      <c r="E29" s="90"/>
      <c r="F29" s="90"/>
      <c r="G29" s="90"/>
      <c r="H29" s="90"/>
      <c r="I29" s="27" t="s">
        <v>413</v>
      </c>
      <c r="J29" s="28" t="s">
        <v>481</v>
      </c>
      <c r="K29" s="34">
        <v>42370</v>
      </c>
      <c r="L29" s="27" t="s">
        <v>0</v>
      </c>
      <c r="M29" s="1" t="s">
        <v>0</v>
      </c>
      <c r="N29" s="1" t="s">
        <v>0</v>
      </c>
      <c r="O29" s="1" t="s">
        <v>0</v>
      </c>
      <c r="P29" s="1" t="s">
        <v>0</v>
      </c>
      <c r="Q29" s="1" t="s">
        <v>0</v>
      </c>
      <c r="R29" s="1"/>
      <c r="S29" s="1" t="s">
        <v>0</v>
      </c>
    </row>
    <row r="30" spans="1:20" ht="87" customHeight="1" x14ac:dyDescent="0.2">
      <c r="A30" s="103" t="s">
        <v>61</v>
      </c>
      <c r="B30" s="104" t="s">
        <v>62</v>
      </c>
      <c r="C30" s="27" t="s">
        <v>51</v>
      </c>
      <c r="D30" s="27" t="s">
        <v>52</v>
      </c>
      <c r="E30" s="27" t="s">
        <v>53</v>
      </c>
      <c r="F30" s="27" t="s">
        <v>0</v>
      </c>
      <c r="G30" s="27" t="s">
        <v>0</v>
      </c>
      <c r="H30" s="27" t="s">
        <v>0</v>
      </c>
      <c r="I30" s="27" t="s">
        <v>414</v>
      </c>
      <c r="J30" s="27" t="s">
        <v>419</v>
      </c>
      <c r="K30" s="34">
        <v>38717</v>
      </c>
      <c r="L30" s="27" t="s">
        <v>60</v>
      </c>
      <c r="M30" s="1">
        <f>5233.54933+669.359+34+1247.70019</f>
        <v>7184.6085199999998</v>
      </c>
      <c r="N30" s="1">
        <f>4412.94475+669.359+34+1247.70019</f>
        <v>6364.0039400000005</v>
      </c>
      <c r="O30" s="1">
        <f>4385.8+3827.88</f>
        <v>8213.68</v>
      </c>
      <c r="P30" s="1">
        <f>3827.88+3533</f>
        <v>7360.88</v>
      </c>
      <c r="Q30" s="1">
        <f>3827.88+3643.5</f>
        <v>7471.38</v>
      </c>
      <c r="R30" s="1">
        <f>3827.88+6415.9</f>
        <v>10243.779999999999</v>
      </c>
      <c r="S30" s="1" t="s">
        <v>0</v>
      </c>
    </row>
    <row r="31" spans="1:20" ht="261" customHeight="1" x14ac:dyDescent="0.2">
      <c r="A31" s="103" t="s">
        <v>0</v>
      </c>
      <c r="B31" s="104" t="s">
        <v>0</v>
      </c>
      <c r="C31" s="27" t="s">
        <v>30</v>
      </c>
      <c r="D31" s="27" t="s">
        <v>55</v>
      </c>
      <c r="E31" s="27" t="s">
        <v>32</v>
      </c>
      <c r="F31" s="27" t="s">
        <v>0</v>
      </c>
      <c r="G31" s="27" t="s">
        <v>0</v>
      </c>
      <c r="H31" s="27" t="s">
        <v>0</v>
      </c>
      <c r="I31" s="27" t="s">
        <v>413</v>
      </c>
      <c r="J31" s="28" t="s">
        <v>481</v>
      </c>
      <c r="K31" s="34">
        <v>42370</v>
      </c>
      <c r="L31" s="27" t="s">
        <v>0</v>
      </c>
      <c r="M31" s="1"/>
      <c r="N31" s="1" t="s">
        <v>0</v>
      </c>
      <c r="O31" s="1" t="s">
        <v>0</v>
      </c>
      <c r="P31" s="1" t="s">
        <v>0</v>
      </c>
      <c r="Q31" s="1" t="s">
        <v>0</v>
      </c>
      <c r="R31" s="1"/>
      <c r="S31" s="1" t="s">
        <v>0</v>
      </c>
    </row>
    <row r="32" spans="1:20" ht="90.75" customHeight="1" x14ac:dyDescent="0.2">
      <c r="A32" s="103" t="s">
        <v>63</v>
      </c>
      <c r="B32" s="104" t="s">
        <v>64</v>
      </c>
      <c r="C32" s="27" t="s">
        <v>51</v>
      </c>
      <c r="D32" s="27" t="s">
        <v>52</v>
      </c>
      <c r="E32" s="27" t="s">
        <v>53</v>
      </c>
      <c r="F32" s="27" t="s">
        <v>0</v>
      </c>
      <c r="G32" s="27" t="s">
        <v>0</v>
      </c>
      <c r="H32" s="27" t="s">
        <v>0</v>
      </c>
      <c r="I32" s="27" t="s">
        <v>414</v>
      </c>
      <c r="J32" s="27" t="s">
        <v>419</v>
      </c>
      <c r="K32" s="34">
        <v>38717</v>
      </c>
      <c r="L32" s="27" t="s">
        <v>65</v>
      </c>
      <c r="M32" s="1">
        <f>22869.732+11933.85621+2477+12855.682+4983.50856+320.8+20.4+11.5+10</f>
        <v>55482.478770000009</v>
      </c>
      <c r="N32" s="1">
        <f>21735.56667+11552.50737+2449.8413+12855.682+4983.50856+320.8+20.4+11.494+10</f>
        <v>53939.799900000005</v>
      </c>
      <c r="O32" s="1">
        <f>12621.5+3031.4+20912.2+11.5+10+15</f>
        <v>36601.599999999999</v>
      </c>
      <c r="P32" s="1">
        <f>7983.9+11.5+10+15+1845.6+5347.4</f>
        <v>15213.4</v>
      </c>
      <c r="Q32" s="1">
        <f>9539.5+11.5+10+15+1887.7+3318.6</f>
        <v>14782.300000000001</v>
      </c>
      <c r="R32" s="1">
        <f>45558.4+11.5+10+15</f>
        <v>45594.9</v>
      </c>
      <c r="S32" s="1" t="s">
        <v>0</v>
      </c>
    </row>
    <row r="33" spans="1:19" ht="263.25" customHeight="1" x14ac:dyDescent="0.2">
      <c r="A33" s="103"/>
      <c r="B33" s="104"/>
      <c r="C33" s="89" t="s">
        <v>30</v>
      </c>
      <c r="D33" s="89" t="s">
        <v>55</v>
      </c>
      <c r="E33" s="89" t="s">
        <v>32</v>
      </c>
      <c r="F33" s="89" t="s">
        <v>0</v>
      </c>
      <c r="G33" s="89" t="s">
        <v>0</v>
      </c>
      <c r="H33" s="89" t="s">
        <v>0</v>
      </c>
      <c r="I33" s="28" t="s">
        <v>413</v>
      </c>
      <c r="J33" s="28" t="s">
        <v>481</v>
      </c>
      <c r="K33" s="34">
        <v>42370</v>
      </c>
      <c r="L33" s="28"/>
      <c r="M33" s="1"/>
      <c r="N33" s="1"/>
      <c r="O33" s="1"/>
      <c r="P33" s="1"/>
      <c r="Q33" s="1"/>
      <c r="R33" s="1"/>
      <c r="S33" s="1"/>
    </row>
    <row r="34" spans="1:19" ht="214.5" customHeight="1" x14ac:dyDescent="0.2">
      <c r="A34" s="103"/>
      <c r="B34" s="104"/>
      <c r="C34" s="94"/>
      <c r="D34" s="94"/>
      <c r="E34" s="94"/>
      <c r="F34" s="94"/>
      <c r="G34" s="94"/>
      <c r="H34" s="94"/>
      <c r="I34" s="41" t="s">
        <v>513</v>
      </c>
      <c r="J34" s="41" t="s">
        <v>34</v>
      </c>
      <c r="K34" s="34" t="s">
        <v>514</v>
      </c>
      <c r="L34" s="41"/>
      <c r="M34" s="1"/>
      <c r="N34" s="1"/>
      <c r="O34" s="1"/>
      <c r="P34" s="1"/>
      <c r="Q34" s="1"/>
      <c r="R34" s="1"/>
      <c r="S34" s="1"/>
    </row>
    <row r="35" spans="1:19" ht="207.75" customHeight="1" x14ac:dyDescent="0.2">
      <c r="A35" s="103"/>
      <c r="B35" s="104"/>
      <c r="C35" s="94"/>
      <c r="D35" s="94"/>
      <c r="E35" s="94"/>
      <c r="F35" s="94"/>
      <c r="G35" s="94"/>
      <c r="H35" s="94"/>
      <c r="I35" s="28" t="s">
        <v>482</v>
      </c>
      <c r="J35" s="28" t="s">
        <v>483</v>
      </c>
      <c r="K35" s="34">
        <v>43648</v>
      </c>
      <c r="L35" s="28"/>
      <c r="M35" s="1"/>
      <c r="N35" s="1"/>
      <c r="O35" s="1"/>
      <c r="P35" s="1"/>
      <c r="Q35" s="1"/>
      <c r="R35" s="1"/>
      <c r="S35" s="1"/>
    </row>
    <row r="36" spans="1:19" ht="213" customHeight="1" x14ac:dyDescent="0.2">
      <c r="A36" s="103"/>
      <c r="B36" s="104"/>
      <c r="C36" s="94"/>
      <c r="D36" s="94"/>
      <c r="E36" s="94"/>
      <c r="F36" s="94"/>
      <c r="G36" s="94"/>
      <c r="H36" s="94"/>
      <c r="I36" s="41" t="s">
        <v>509</v>
      </c>
      <c r="J36" s="41" t="s">
        <v>34</v>
      </c>
      <c r="K36" s="34">
        <v>44194</v>
      </c>
      <c r="L36" s="41"/>
      <c r="M36" s="1"/>
      <c r="N36" s="1"/>
      <c r="O36" s="1"/>
      <c r="P36" s="1"/>
      <c r="Q36" s="1"/>
      <c r="R36" s="1"/>
      <c r="S36" s="1"/>
    </row>
    <row r="37" spans="1:19" ht="198.75" customHeight="1" x14ac:dyDescent="0.2">
      <c r="A37" s="103" t="s">
        <v>0</v>
      </c>
      <c r="B37" s="104" t="s">
        <v>0</v>
      </c>
      <c r="C37" s="90"/>
      <c r="D37" s="90"/>
      <c r="E37" s="90"/>
      <c r="F37" s="90"/>
      <c r="G37" s="90"/>
      <c r="H37" s="90"/>
      <c r="I37" s="27" t="s">
        <v>484</v>
      </c>
      <c r="J37" s="28" t="s">
        <v>34</v>
      </c>
      <c r="K37" s="34">
        <v>41607</v>
      </c>
      <c r="L37" s="27" t="s">
        <v>0</v>
      </c>
      <c r="M37" s="1"/>
      <c r="N37" s="1" t="s">
        <v>0</v>
      </c>
      <c r="O37" s="1" t="s">
        <v>0</v>
      </c>
      <c r="P37" s="1" t="s">
        <v>0</v>
      </c>
      <c r="Q37" s="1" t="s">
        <v>0</v>
      </c>
      <c r="R37" s="1"/>
      <c r="S37" s="1" t="s">
        <v>0</v>
      </c>
    </row>
    <row r="38" spans="1:19" ht="87.75" customHeight="1" x14ac:dyDescent="0.2">
      <c r="A38" s="103" t="s">
        <v>66</v>
      </c>
      <c r="B38" s="104" t="s">
        <v>67</v>
      </c>
      <c r="C38" s="27" t="s">
        <v>51</v>
      </c>
      <c r="D38" s="27" t="s">
        <v>52</v>
      </c>
      <c r="E38" s="27" t="s">
        <v>53</v>
      </c>
      <c r="F38" s="27" t="s">
        <v>0</v>
      </c>
      <c r="G38" s="27" t="s">
        <v>0</v>
      </c>
      <c r="H38" s="27" t="s">
        <v>0</v>
      </c>
      <c r="I38" s="27" t="s">
        <v>414</v>
      </c>
      <c r="J38" s="27" t="s">
        <v>419</v>
      </c>
      <c r="K38" s="34">
        <v>38717</v>
      </c>
      <c r="L38" s="27" t="s">
        <v>68</v>
      </c>
      <c r="M38" s="1"/>
      <c r="N38" s="1"/>
      <c r="O38" s="1"/>
      <c r="P38" s="1"/>
      <c r="Q38" s="1"/>
      <c r="R38" s="1"/>
      <c r="S38" s="1" t="s">
        <v>0</v>
      </c>
    </row>
    <row r="39" spans="1:19" ht="160.5" customHeight="1" x14ac:dyDescent="0.2">
      <c r="A39" s="103" t="s">
        <v>0</v>
      </c>
      <c r="B39" s="104" t="s">
        <v>0</v>
      </c>
      <c r="C39" s="27" t="s">
        <v>69</v>
      </c>
      <c r="D39" s="27" t="s">
        <v>70</v>
      </c>
      <c r="E39" s="27" t="s">
        <v>71</v>
      </c>
      <c r="F39" s="27" t="s">
        <v>0</v>
      </c>
      <c r="G39" s="27" t="s">
        <v>0</v>
      </c>
      <c r="H39" s="27" t="s">
        <v>0</v>
      </c>
      <c r="I39" s="28" t="s">
        <v>468</v>
      </c>
      <c r="J39" s="28" t="s">
        <v>34</v>
      </c>
      <c r="K39" s="34">
        <v>42754</v>
      </c>
      <c r="L39" s="27" t="s">
        <v>0</v>
      </c>
      <c r="M39" s="1" t="s">
        <v>0</v>
      </c>
      <c r="N39" s="1" t="s">
        <v>0</v>
      </c>
      <c r="O39" s="1" t="s">
        <v>0</v>
      </c>
      <c r="P39" s="1" t="s">
        <v>0</v>
      </c>
      <c r="Q39" s="1" t="s">
        <v>0</v>
      </c>
      <c r="R39" s="1"/>
      <c r="S39" s="1" t="s">
        <v>0</v>
      </c>
    </row>
    <row r="40" spans="1:19" ht="87.75" customHeight="1" x14ac:dyDescent="0.2">
      <c r="A40" s="103" t="s">
        <v>0</v>
      </c>
      <c r="B40" s="104" t="s">
        <v>0</v>
      </c>
      <c r="C40" s="27" t="s">
        <v>30</v>
      </c>
      <c r="D40" s="27" t="s">
        <v>55</v>
      </c>
      <c r="E40" s="27" t="s">
        <v>32</v>
      </c>
      <c r="F40" s="27" t="s">
        <v>0</v>
      </c>
      <c r="G40" s="27" t="s">
        <v>0</v>
      </c>
      <c r="H40" s="27" t="s">
        <v>0</v>
      </c>
      <c r="I40" s="27"/>
      <c r="J40" s="27" t="s">
        <v>0</v>
      </c>
      <c r="K40" s="27" t="s">
        <v>0</v>
      </c>
      <c r="L40" s="27" t="s">
        <v>0</v>
      </c>
      <c r="M40" s="1" t="s">
        <v>0</v>
      </c>
      <c r="N40" s="1" t="s">
        <v>0</v>
      </c>
      <c r="O40" s="1" t="s">
        <v>0</v>
      </c>
      <c r="P40" s="1" t="s">
        <v>0</v>
      </c>
      <c r="Q40" s="1" t="s">
        <v>0</v>
      </c>
      <c r="R40" s="1"/>
      <c r="S40" s="1" t="s">
        <v>0</v>
      </c>
    </row>
    <row r="41" spans="1:19" ht="90" customHeight="1" x14ac:dyDescent="0.2">
      <c r="A41" s="91" t="s">
        <v>72</v>
      </c>
      <c r="B41" s="89" t="s">
        <v>73</v>
      </c>
      <c r="C41" s="27" t="s">
        <v>51</v>
      </c>
      <c r="D41" s="27" t="s">
        <v>52</v>
      </c>
      <c r="E41" s="27" t="s">
        <v>53</v>
      </c>
      <c r="F41" s="27" t="s">
        <v>0</v>
      </c>
      <c r="G41" s="27" t="s">
        <v>0</v>
      </c>
      <c r="H41" s="27" t="s">
        <v>0</v>
      </c>
      <c r="I41" s="27" t="s">
        <v>414</v>
      </c>
      <c r="J41" s="27" t="s">
        <v>419</v>
      </c>
      <c r="K41" s="34">
        <v>38717</v>
      </c>
      <c r="L41" s="27" t="s">
        <v>515</v>
      </c>
      <c r="M41" s="1">
        <f>1781.0799+8228.85222</f>
        <v>10009.932120000001</v>
      </c>
      <c r="N41" s="1">
        <f>1737.74722+8017.57051</f>
        <v>9755.3177299999988</v>
      </c>
      <c r="O41" s="1">
        <f>1763.9+7167.7+385.4</f>
        <v>9317</v>
      </c>
      <c r="P41" s="1">
        <f>1661.1+71.3+6717.5+312.1+385.4</f>
        <v>9147.4</v>
      </c>
      <c r="Q41" s="1">
        <f>1661.1+74+6717.5+324.3+385.4</f>
        <v>9162.2999999999993</v>
      </c>
      <c r="R41" s="1">
        <f>10553.4+385.4</f>
        <v>10938.8</v>
      </c>
      <c r="S41" s="1" t="s">
        <v>0</v>
      </c>
    </row>
    <row r="42" spans="1:19" ht="182.25" customHeight="1" x14ac:dyDescent="0.2">
      <c r="A42" s="92"/>
      <c r="B42" s="94"/>
      <c r="C42" s="89" t="s">
        <v>30</v>
      </c>
      <c r="D42" s="89" t="s">
        <v>55</v>
      </c>
      <c r="E42" s="89" t="s">
        <v>32</v>
      </c>
      <c r="F42" s="89" t="s">
        <v>0</v>
      </c>
      <c r="G42" s="89" t="s">
        <v>0</v>
      </c>
      <c r="H42" s="89" t="s">
        <v>0</v>
      </c>
      <c r="I42" s="27" t="s">
        <v>424</v>
      </c>
      <c r="J42" s="27" t="s">
        <v>34</v>
      </c>
      <c r="K42" s="34">
        <v>39892</v>
      </c>
      <c r="L42" s="27" t="s">
        <v>0</v>
      </c>
      <c r="M42" s="1" t="s">
        <v>0</v>
      </c>
      <c r="N42" s="1" t="s">
        <v>0</v>
      </c>
      <c r="O42" s="1" t="s">
        <v>0</v>
      </c>
      <c r="P42" s="1" t="s">
        <v>0</v>
      </c>
      <c r="Q42" s="1" t="s">
        <v>0</v>
      </c>
      <c r="R42" s="1"/>
      <c r="S42" s="1" t="s">
        <v>0</v>
      </c>
    </row>
    <row r="43" spans="1:19" ht="165" customHeight="1" x14ac:dyDescent="0.2">
      <c r="A43" s="93"/>
      <c r="B43" s="90"/>
      <c r="C43" s="90"/>
      <c r="D43" s="90"/>
      <c r="E43" s="90"/>
      <c r="F43" s="90"/>
      <c r="G43" s="90"/>
      <c r="H43" s="90"/>
      <c r="I43" s="28" t="s">
        <v>468</v>
      </c>
      <c r="J43" s="28" t="s">
        <v>34</v>
      </c>
      <c r="K43" s="34">
        <v>42754</v>
      </c>
      <c r="L43" s="28"/>
      <c r="M43" s="1"/>
      <c r="N43" s="1"/>
      <c r="O43" s="1"/>
      <c r="P43" s="1"/>
      <c r="Q43" s="1"/>
      <c r="R43" s="1"/>
      <c r="S43" s="1"/>
    </row>
    <row r="44" spans="1:19" ht="91.5" customHeight="1" x14ac:dyDescent="0.2">
      <c r="A44" s="103" t="s">
        <v>74</v>
      </c>
      <c r="B44" s="104" t="s">
        <v>75</v>
      </c>
      <c r="C44" s="27" t="s">
        <v>76</v>
      </c>
      <c r="D44" s="27" t="s">
        <v>77</v>
      </c>
      <c r="E44" s="27" t="s">
        <v>78</v>
      </c>
      <c r="F44" s="27" t="s">
        <v>0</v>
      </c>
      <c r="G44" s="27" t="s">
        <v>0</v>
      </c>
      <c r="H44" s="27" t="s">
        <v>0</v>
      </c>
      <c r="I44" s="27" t="s">
        <v>414</v>
      </c>
      <c r="J44" s="27" t="s">
        <v>420</v>
      </c>
      <c r="K44" s="34">
        <v>38717</v>
      </c>
      <c r="L44" s="27" t="s">
        <v>36</v>
      </c>
      <c r="M44" s="1">
        <f>315.38361</f>
        <v>315.38360999999998</v>
      </c>
      <c r="N44" s="1">
        <f>308.68419</f>
        <v>308.68419</v>
      </c>
      <c r="O44" s="1">
        <f>250.7</f>
        <v>250.7</v>
      </c>
      <c r="P44" s="1">
        <f>234.6</f>
        <v>234.6</v>
      </c>
      <c r="Q44" s="1">
        <v>236</v>
      </c>
      <c r="R44" s="1">
        <v>328.1</v>
      </c>
      <c r="S44" s="1" t="s">
        <v>0</v>
      </c>
    </row>
    <row r="45" spans="1:19" ht="185.25" customHeight="1" x14ac:dyDescent="0.2">
      <c r="A45" s="103"/>
      <c r="B45" s="104"/>
      <c r="C45" s="89" t="s">
        <v>30</v>
      </c>
      <c r="D45" s="89" t="s">
        <v>79</v>
      </c>
      <c r="E45" s="89" t="s">
        <v>32</v>
      </c>
      <c r="F45" s="89" t="s">
        <v>0</v>
      </c>
      <c r="G45" s="89" t="s">
        <v>0</v>
      </c>
      <c r="H45" s="89" t="s">
        <v>0</v>
      </c>
      <c r="I45" s="28" t="s">
        <v>488</v>
      </c>
      <c r="J45" s="28" t="s">
        <v>34</v>
      </c>
      <c r="K45" s="34">
        <v>40039</v>
      </c>
      <c r="L45" s="28"/>
      <c r="M45" s="1"/>
      <c r="N45" s="1"/>
      <c r="O45" s="1"/>
      <c r="P45" s="1"/>
      <c r="Q45" s="1"/>
      <c r="R45" s="1"/>
      <c r="S45" s="1"/>
    </row>
    <row r="46" spans="1:19" ht="150" customHeight="1" x14ac:dyDescent="0.2">
      <c r="A46" s="103" t="s">
        <v>0</v>
      </c>
      <c r="B46" s="104" t="s">
        <v>0</v>
      </c>
      <c r="C46" s="90"/>
      <c r="D46" s="90"/>
      <c r="E46" s="90"/>
      <c r="F46" s="90"/>
      <c r="G46" s="90"/>
      <c r="H46" s="90"/>
      <c r="I46" s="27" t="s">
        <v>485</v>
      </c>
      <c r="J46" s="27" t="s">
        <v>34</v>
      </c>
      <c r="K46" s="34">
        <v>42247</v>
      </c>
      <c r="L46" s="27" t="s">
        <v>0</v>
      </c>
      <c r="M46" s="1" t="s">
        <v>0</v>
      </c>
      <c r="N46" s="1" t="s">
        <v>0</v>
      </c>
      <c r="O46" s="1" t="s">
        <v>0</v>
      </c>
      <c r="P46" s="1" t="s">
        <v>0</v>
      </c>
      <c r="Q46" s="1" t="s">
        <v>0</v>
      </c>
      <c r="R46" s="1"/>
      <c r="S46" s="1" t="s">
        <v>0</v>
      </c>
    </row>
    <row r="47" spans="1:19" ht="92.25" customHeight="1" x14ac:dyDescent="0.2">
      <c r="A47" s="91" t="s">
        <v>80</v>
      </c>
      <c r="B47" s="89" t="s">
        <v>81</v>
      </c>
      <c r="C47" s="27" t="s">
        <v>82</v>
      </c>
      <c r="D47" s="27" t="s">
        <v>83</v>
      </c>
      <c r="E47" s="27" t="s">
        <v>84</v>
      </c>
      <c r="F47" s="27" t="s">
        <v>0</v>
      </c>
      <c r="G47" s="27" t="s">
        <v>0</v>
      </c>
      <c r="H47" s="27" t="s">
        <v>0</v>
      </c>
      <c r="I47" s="27" t="s">
        <v>414</v>
      </c>
      <c r="J47" s="27" t="s">
        <v>421</v>
      </c>
      <c r="K47" s="34">
        <v>38717</v>
      </c>
      <c r="L47" s="27" t="s">
        <v>85</v>
      </c>
      <c r="M47" s="1">
        <f>11017.36466+616.71369+126.26262+201.99474+1410.72747+6.8</f>
        <v>13379.863179999998</v>
      </c>
      <c r="N47" s="1">
        <f>10408.9272+604.56413+126.26262+201.99474+1410.72747+6.8</f>
        <v>12759.276159999999</v>
      </c>
      <c r="O47" s="1">
        <f>9823.73113+533.1+978.65215+103.07153</f>
        <v>11438.55481</v>
      </c>
      <c r="P47" s="1">
        <f>6684.2+533.1</f>
        <v>7217.3</v>
      </c>
      <c r="Q47" s="1">
        <f>6800.5+533.1</f>
        <v>7333.6</v>
      </c>
      <c r="R47" s="1">
        <f>10717.4+676.4</f>
        <v>11393.8</v>
      </c>
      <c r="S47" s="1" t="s">
        <v>0</v>
      </c>
    </row>
    <row r="48" spans="1:19" ht="189" customHeight="1" x14ac:dyDescent="0.2">
      <c r="A48" s="92"/>
      <c r="B48" s="94"/>
      <c r="C48" s="27" t="s">
        <v>86</v>
      </c>
      <c r="D48" s="27" t="s">
        <v>87</v>
      </c>
      <c r="E48" s="27" t="s">
        <v>88</v>
      </c>
      <c r="F48" s="27" t="s">
        <v>0</v>
      </c>
      <c r="G48" s="27" t="s">
        <v>0</v>
      </c>
      <c r="H48" s="27" t="s">
        <v>0</v>
      </c>
      <c r="I48" s="27" t="s">
        <v>423</v>
      </c>
      <c r="J48" s="27" t="s">
        <v>34</v>
      </c>
      <c r="K48" s="34">
        <v>42457</v>
      </c>
      <c r="L48" s="27" t="s">
        <v>0</v>
      </c>
      <c r="M48" s="1" t="s">
        <v>0</v>
      </c>
      <c r="N48" s="1" t="s">
        <v>0</v>
      </c>
      <c r="O48" s="1" t="s">
        <v>0</v>
      </c>
      <c r="P48" s="1" t="s">
        <v>0</v>
      </c>
      <c r="Q48" s="1" t="s">
        <v>0</v>
      </c>
      <c r="R48" s="1"/>
      <c r="S48" s="1" t="s">
        <v>0</v>
      </c>
    </row>
    <row r="49" spans="1:19" ht="151.5" customHeight="1" x14ac:dyDescent="0.2">
      <c r="A49" s="92"/>
      <c r="B49" s="94"/>
      <c r="C49" s="27" t="s">
        <v>30</v>
      </c>
      <c r="D49" s="27" t="s">
        <v>89</v>
      </c>
      <c r="E49" s="27" t="s">
        <v>32</v>
      </c>
      <c r="F49" s="27" t="s">
        <v>0</v>
      </c>
      <c r="G49" s="27" t="s">
        <v>0</v>
      </c>
      <c r="H49" s="27" t="s">
        <v>0</v>
      </c>
      <c r="I49" s="28" t="s">
        <v>485</v>
      </c>
      <c r="J49" s="28" t="s">
        <v>34</v>
      </c>
      <c r="K49" s="34">
        <v>42247</v>
      </c>
      <c r="L49" s="27" t="s">
        <v>0</v>
      </c>
      <c r="M49" s="1" t="s">
        <v>0</v>
      </c>
      <c r="N49" s="1" t="s">
        <v>0</v>
      </c>
      <c r="O49" s="1" t="s">
        <v>0</v>
      </c>
      <c r="P49" s="1" t="s">
        <v>0</v>
      </c>
      <c r="Q49" s="1" t="s">
        <v>0</v>
      </c>
      <c r="R49" s="1"/>
      <c r="S49" s="1" t="s">
        <v>0</v>
      </c>
    </row>
    <row r="50" spans="1:19" ht="147.75" customHeight="1" x14ac:dyDescent="0.2">
      <c r="A50" s="92"/>
      <c r="B50" s="94"/>
      <c r="C50" s="89" t="s">
        <v>90</v>
      </c>
      <c r="D50" s="89" t="s">
        <v>34</v>
      </c>
      <c r="E50" s="89" t="s">
        <v>91</v>
      </c>
      <c r="F50" s="89" t="s">
        <v>0</v>
      </c>
      <c r="G50" s="89" t="s">
        <v>0</v>
      </c>
      <c r="H50" s="89" t="s">
        <v>0</v>
      </c>
      <c r="I50" s="27" t="s">
        <v>486</v>
      </c>
      <c r="J50" s="27" t="s">
        <v>34</v>
      </c>
      <c r="K50" s="34">
        <v>42247</v>
      </c>
      <c r="L50" s="27"/>
      <c r="M50" s="1"/>
      <c r="N50" s="1"/>
      <c r="O50" s="1"/>
      <c r="P50" s="1"/>
      <c r="Q50" s="1"/>
      <c r="R50" s="1"/>
      <c r="S50" s="1"/>
    </row>
    <row r="51" spans="1:19" ht="189.75" customHeight="1" x14ac:dyDescent="0.2">
      <c r="A51" s="93"/>
      <c r="B51" s="90"/>
      <c r="C51" s="90"/>
      <c r="D51" s="90"/>
      <c r="E51" s="90"/>
      <c r="F51" s="90"/>
      <c r="G51" s="90"/>
      <c r="H51" s="90"/>
      <c r="I51" s="28" t="s">
        <v>487</v>
      </c>
      <c r="J51" s="28" t="s">
        <v>34</v>
      </c>
      <c r="K51" s="34">
        <v>39749</v>
      </c>
      <c r="L51" s="28"/>
      <c r="M51" s="1"/>
      <c r="N51" s="1"/>
      <c r="O51" s="1"/>
      <c r="P51" s="1"/>
      <c r="Q51" s="1"/>
      <c r="R51" s="1"/>
      <c r="S51" s="1"/>
    </row>
    <row r="52" spans="1:19" ht="89.25" customHeight="1" x14ac:dyDescent="0.2">
      <c r="A52" s="103" t="s">
        <v>92</v>
      </c>
      <c r="B52" s="104" t="s">
        <v>93</v>
      </c>
      <c r="C52" s="27" t="s">
        <v>82</v>
      </c>
      <c r="D52" s="27" t="s">
        <v>94</v>
      </c>
      <c r="E52" s="27" t="s">
        <v>84</v>
      </c>
      <c r="F52" s="27" t="s">
        <v>0</v>
      </c>
      <c r="G52" s="27" t="s">
        <v>0</v>
      </c>
      <c r="H52" s="27" t="s">
        <v>0</v>
      </c>
      <c r="I52" s="27" t="s">
        <v>414</v>
      </c>
      <c r="J52" s="27" t="s">
        <v>422</v>
      </c>
      <c r="K52" s="34">
        <v>38717</v>
      </c>
      <c r="L52" s="27" t="s">
        <v>85</v>
      </c>
      <c r="M52" s="1">
        <f>21178.6+4557.28597+346.38+63.13132+1251.57626+60+6.8+99+231.7503</f>
        <v>27794.523850000001</v>
      </c>
      <c r="N52" s="1">
        <f>19821.99453+4475.48057+346.38+63.13132+1251.57626+60+6.8+99+231.7503</f>
        <v>26356.112980000002</v>
      </c>
      <c r="O52" s="1">
        <f>3843.7+19170.28464+60+51.53576+450+5.7</f>
        <v>23581.220400000002</v>
      </c>
      <c r="P52" s="1">
        <f>450+13155.9+60+5.9+3817.7+27.1</f>
        <v>17516.599999999999</v>
      </c>
      <c r="Q52" s="1">
        <f>450+13524.3+60+6+3817.7+28.1</f>
        <v>17886.099999999999</v>
      </c>
      <c r="R52" s="1">
        <f>450+60+21915.7+4785.8</f>
        <v>27211.5</v>
      </c>
      <c r="S52" s="1" t="s">
        <v>0</v>
      </c>
    </row>
    <row r="53" spans="1:19" ht="184.5" customHeight="1" x14ac:dyDescent="0.2">
      <c r="A53" s="103" t="s">
        <v>0</v>
      </c>
      <c r="B53" s="104" t="s">
        <v>0</v>
      </c>
      <c r="C53" s="27" t="s">
        <v>30</v>
      </c>
      <c r="D53" s="27" t="s">
        <v>95</v>
      </c>
      <c r="E53" s="27" t="s">
        <v>32</v>
      </c>
      <c r="F53" s="27" t="s">
        <v>0</v>
      </c>
      <c r="G53" s="27" t="s">
        <v>0</v>
      </c>
      <c r="H53" s="27" t="s">
        <v>0</v>
      </c>
      <c r="I53" s="28" t="s">
        <v>423</v>
      </c>
      <c r="J53" s="28" t="s">
        <v>34</v>
      </c>
      <c r="K53" s="34">
        <v>42457</v>
      </c>
      <c r="L53" s="27" t="s">
        <v>0</v>
      </c>
      <c r="M53" s="1" t="s">
        <v>0</v>
      </c>
      <c r="N53" s="1" t="s">
        <v>0</v>
      </c>
      <c r="O53" s="1" t="s">
        <v>0</v>
      </c>
      <c r="P53" s="1" t="s">
        <v>0</v>
      </c>
      <c r="Q53" s="1" t="s">
        <v>0</v>
      </c>
      <c r="R53" s="1"/>
      <c r="S53" s="1" t="s">
        <v>0</v>
      </c>
    </row>
    <row r="54" spans="1:19" ht="156" x14ac:dyDescent="0.2">
      <c r="A54" s="103" t="s">
        <v>0</v>
      </c>
      <c r="B54" s="104" t="s">
        <v>0</v>
      </c>
      <c r="C54" s="27" t="s">
        <v>90</v>
      </c>
      <c r="D54" s="27" t="s">
        <v>34</v>
      </c>
      <c r="E54" s="27" t="s">
        <v>91</v>
      </c>
      <c r="F54" s="27" t="s">
        <v>0</v>
      </c>
      <c r="G54" s="27" t="s">
        <v>0</v>
      </c>
      <c r="H54" s="27" t="s">
        <v>0</v>
      </c>
      <c r="I54" s="28" t="s">
        <v>485</v>
      </c>
      <c r="J54" s="28" t="s">
        <v>34</v>
      </c>
      <c r="K54" s="34">
        <v>42247</v>
      </c>
      <c r="L54" s="27"/>
      <c r="M54" s="1"/>
      <c r="N54" s="1"/>
      <c r="O54" s="1"/>
      <c r="P54" s="1"/>
      <c r="Q54" s="1"/>
      <c r="R54" s="1"/>
      <c r="S54" s="1"/>
    </row>
    <row r="55" spans="1:19" ht="149.25" customHeight="1" x14ac:dyDescent="0.2">
      <c r="A55" s="103" t="s">
        <v>96</v>
      </c>
      <c r="B55" s="104" t="s">
        <v>97</v>
      </c>
      <c r="C55" s="27" t="s">
        <v>98</v>
      </c>
      <c r="D55" s="27" t="s">
        <v>99</v>
      </c>
      <c r="E55" s="27" t="s">
        <v>100</v>
      </c>
      <c r="F55" s="27" t="s">
        <v>0</v>
      </c>
      <c r="G55" s="27" t="s">
        <v>0</v>
      </c>
      <c r="H55" s="27" t="s">
        <v>0</v>
      </c>
      <c r="I55" s="27" t="s">
        <v>411</v>
      </c>
      <c r="J55" s="27" t="s">
        <v>34</v>
      </c>
      <c r="K55" s="34">
        <v>42451</v>
      </c>
      <c r="L55" s="27" t="s">
        <v>528</v>
      </c>
      <c r="M55" s="1">
        <f>1527.8601</f>
        <v>1527.8601000000001</v>
      </c>
      <c r="N55" s="1">
        <f>1480.3197</f>
        <v>1480.3197</v>
      </c>
      <c r="O55" s="1">
        <f>1204.7</f>
        <v>1204.7</v>
      </c>
      <c r="P55" s="1">
        <f>1080.1+85.4+1.3</f>
        <v>1166.8</v>
      </c>
      <c r="Q55" s="1">
        <f>1080.1+88.7+1.3</f>
        <v>1170.0999999999999</v>
      </c>
      <c r="R55" s="1">
        <f>1440.1+164.4+1.3</f>
        <v>1605.8</v>
      </c>
      <c r="S55" s="1" t="s">
        <v>0</v>
      </c>
    </row>
    <row r="56" spans="1:19" ht="198.75" customHeight="1" x14ac:dyDescent="0.2">
      <c r="A56" s="103"/>
      <c r="B56" s="104"/>
      <c r="C56" s="27" t="s">
        <v>101</v>
      </c>
      <c r="D56" s="27" t="s">
        <v>102</v>
      </c>
      <c r="E56" s="27" t="s">
        <v>103</v>
      </c>
      <c r="F56" s="27"/>
      <c r="G56" s="27"/>
      <c r="H56" s="27"/>
      <c r="I56" s="27" t="s">
        <v>475</v>
      </c>
      <c r="J56" s="27" t="s">
        <v>34</v>
      </c>
      <c r="K56" s="34">
        <v>43907</v>
      </c>
      <c r="L56" s="27"/>
      <c r="M56" s="1"/>
      <c r="N56" s="1"/>
      <c r="O56" s="1"/>
      <c r="P56" s="1"/>
      <c r="Q56" s="1"/>
      <c r="R56" s="1"/>
      <c r="S56" s="1"/>
    </row>
    <row r="57" spans="1:19" ht="186.75" customHeight="1" x14ac:dyDescent="0.2">
      <c r="A57" s="103" t="s">
        <v>0</v>
      </c>
      <c r="B57" s="104" t="s">
        <v>0</v>
      </c>
      <c r="C57" s="27" t="s">
        <v>104</v>
      </c>
      <c r="D57" s="27" t="s">
        <v>105</v>
      </c>
      <c r="E57" s="27" t="s">
        <v>106</v>
      </c>
      <c r="F57" s="27" t="s">
        <v>0</v>
      </c>
      <c r="G57" s="27" t="s">
        <v>0</v>
      </c>
      <c r="H57" s="27" t="s">
        <v>0</v>
      </c>
      <c r="I57" s="28" t="s">
        <v>487</v>
      </c>
      <c r="J57" s="28" t="s">
        <v>34</v>
      </c>
      <c r="K57" s="34">
        <v>39749</v>
      </c>
      <c r="L57" s="27" t="s">
        <v>0</v>
      </c>
      <c r="M57" s="1" t="s">
        <v>0</v>
      </c>
      <c r="N57" s="1" t="s">
        <v>0</v>
      </c>
      <c r="O57" s="1" t="s">
        <v>0</v>
      </c>
      <c r="P57" s="1" t="s">
        <v>0</v>
      </c>
      <c r="Q57" s="1" t="s">
        <v>0</v>
      </c>
      <c r="R57" s="1"/>
      <c r="S57" s="1" t="s">
        <v>0</v>
      </c>
    </row>
    <row r="58" spans="1:19" ht="84" x14ac:dyDescent="0.2">
      <c r="A58" s="103" t="s">
        <v>0</v>
      </c>
      <c r="B58" s="104" t="s">
        <v>0</v>
      </c>
      <c r="C58" s="27" t="s">
        <v>30</v>
      </c>
      <c r="D58" s="27" t="s">
        <v>107</v>
      </c>
      <c r="E58" s="27" t="s">
        <v>32</v>
      </c>
      <c r="F58" s="27" t="s">
        <v>0</v>
      </c>
      <c r="G58" s="27" t="s">
        <v>0</v>
      </c>
      <c r="H58" s="27" t="s">
        <v>0</v>
      </c>
      <c r="I58" s="27" t="s">
        <v>0</v>
      </c>
      <c r="J58" s="27" t="s">
        <v>0</v>
      </c>
      <c r="K58" s="27" t="s">
        <v>0</v>
      </c>
      <c r="L58" s="27" t="s">
        <v>0</v>
      </c>
      <c r="M58" s="1" t="s">
        <v>0</v>
      </c>
      <c r="N58" s="1" t="s">
        <v>0</v>
      </c>
      <c r="O58" s="1" t="s">
        <v>0</v>
      </c>
      <c r="P58" s="1" t="s">
        <v>0</v>
      </c>
      <c r="Q58" s="1" t="s">
        <v>0</v>
      </c>
      <c r="R58" s="1"/>
      <c r="S58" s="1" t="s">
        <v>0</v>
      </c>
    </row>
    <row r="59" spans="1:19" ht="199.5" customHeight="1" x14ac:dyDescent="0.2">
      <c r="A59" s="48" t="s">
        <v>533</v>
      </c>
      <c r="B59" s="49" t="s">
        <v>534</v>
      </c>
      <c r="C59" s="51" t="s">
        <v>30</v>
      </c>
      <c r="D59" s="51" t="s">
        <v>108</v>
      </c>
      <c r="E59" s="51" t="s">
        <v>32</v>
      </c>
      <c r="F59" s="49"/>
      <c r="G59" s="49"/>
      <c r="H59" s="49"/>
      <c r="I59" s="49" t="s">
        <v>535</v>
      </c>
      <c r="J59" s="49" t="s">
        <v>34</v>
      </c>
      <c r="K59" s="34">
        <v>42335</v>
      </c>
      <c r="L59" s="49" t="s">
        <v>36</v>
      </c>
      <c r="M59" s="1">
        <v>0</v>
      </c>
      <c r="N59" s="1">
        <v>0</v>
      </c>
      <c r="O59" s="1">
        <v>200</v>
      </c>
      <c r="P59" s="1">
        <f>200</f>
        <v>200</v>
      </c>
      <c r="Q59" s="1">
        <f>200</f>
        <v>200</v>
      </c>
      <c r="R59" s="1">
        <f>200</f>
        <v>200</v>
      </c>
      <c r="S59" s="1"/>
    </row>
    <row r="60" spans="1:19" ht="150" customHeight="1" x14ac:dyDescent="0.2">
      <c r="A60" s="103" t="s">
        <v>110</v>
      </c>
      <c r="B60" s="104" t="s">
        <v>111</v>
      </c>
      <c r="C60" s="27" t="s">
        <v>112</v>
      </c>
      <c r="D60" s="27" t="s">
        <v>113</v>
      </c>
      <c r="E60" s="27" t="s">
        <v>114</v>
      </c>
      <c r="F60" s="27" t="s">
        <v>0</v>
      </c>
      <c r="G60" s="27" t="s">
        <v>0</v>
      </c>
      <c r="H60" s="27" t="s">
        <v>0</v>
      </c>
      <c r="I60" s="27" t="s">
        <v>471</v>
      </c>
      <c r="J60" s="27" t="s">
        <v>34</v>
      </c>
      <c r="K60" s="34">
        <v>42319</v>
      </c>
      <c r="L60" s="27" t="s">
        <v>115</v>
      </c>
      <c r="M60" s="1">
        <f>10</f>
        <v>10</v>
      </c>
      <c r="N60" s="1">
        <f>10</f>
        <v>10</v>
      </c>
      <c r="O60" s="1">
        <f>60</f>
        <v>60</v>
      </c>
      <c r="P60" s="1">
        <f>10+20</f>
        <v>30</v>
      </c>
      <c r="Q60" s="1">
        <f>10+30+20</f>
        <v>60</v>
      </c>
      <c r="R60" s="1">
        <f>60</f>
        <v>60</v>
      </c>
      <c r="S60" s="1" t="s">
        <v>0</v>
      </c>
    </row>
    <row r="61" spans="1:19" ht="177" customHeight="1" x14ac:dyDescent="0.2">
      <c r="A61" s="103" t="s">
        <v>0</v>
      </c>
      <c r="B61" s="104" t="s">
        <v>0</v>
      </c>
      <c r="C61" s="27" t="s">
        <v>30</v>
      </c>
      <c r="D61" s="27" t="s">
        <v>108</v>
      </c>
      <c r="E61" s="27" t="s">
        <v>32</v>
      </c>
      <c r="F61" s="27" t="s">
        <v>0</v>
      </c>
      <c r="G61" s="27" t="s">
        <v>0</v>
      </c>
      <c r="H61" s="27" t="s">
        <v>0</v>
      </c>
      <c r="I61" s="27" t="s">
        <v>489</v>
      </c>
      <c r="J61" s="27" t="s">
        <v>34</v>
      </c>
      <c r="K61" s="34">
        <v>42319</v>
      </c>
      <c r="L61" s="27" t="s">
        <v>0</v>
      </c>
      <c r="M61" s="1" t="s">
        <v>0</v>
      </c>
      <c r="N61" s="1" t="s">
        <v>0</v>
      </c>
      <c r="O61" s="1" t="s">
        <v>0</v>
      </c>
      <c r="P61" s="1" t="s">
        <v>0</v>
      </c>
      <c r="Q61" s="1" t="s">
        <v>0</v>
      </c>
      <c r="R61" s="1"/>
      <c r="S61" s="1" t="s">
        <v>0</v>
      </c>
    </row>
    <row r="62" spans="1:19" ht="150" customHeight="1" x14ac:dyDescent="0.2">
      <c r="A62" s="103" t="s">
        <v>116</v>
      </c>
      <c r="B62" s="104" t="s">
        <v>117</v>
      </c>
      <c r="C62" s="27" t="s">
        <v>118</v>
      </c>
      <c r="D62" s="27" t="s">
        <v>119</v>
      </c>
      <c r="E62" s="27" t="s">
        <v>120</v>
      </c>
      <c r="F62" s="27" t="s">
        <v>0</v>
      </c>
      <c r="G62" s="27" t="s">
        <v>0</v>
      </c>
      <c r="H62" s="27" t="s">
        <v>0</v>
      </c>
      <c r="I62" s="27" t="s">
        <v>412</v>
      </c>
      <c r="J62" s="27" t="s">
        <v>34</v>
      </c>
      <c r="K62" s="34">
        <v>41318</v>
      </c>
      <c r="L62" s="27" t="s">
        <v>121</v>
      </c>
      <c r="M62" s="1">
        <f>100</f>
        <v>100</v>
      </c>
      <c r="N62" s="1">
        <f>100</f>
        <v>100</v>
      </c>
      <c r="O62" s="1">
        <f>100</f>
        <v>100</v>
      </c>
      <c r="P62" s="1">
        <f>100</f>
        <v>100</v>
      </c>
      <c r="Q62" s="1">
        <f>100</f>
        <v>100</v>
      </c>
      <c r="R62" s="1">
        <f>100</f>
        <v>100</v>
      </c>
      <c r="S62" s="1" t="s">
        <v>0</v>
      </c>
    </row>
    <row r="63" spans="1:19" ht="53.25" customHeight="1" x14ac:dyDescent="0.2">
      <c r="A63" s="103" t="s">
        <v>0</v>
      </c>
      <c r="B63" s="104" t="s">
        <v>0</v>
      </c>
      <c r="C63" s="27" t="s">
        <v>118</v>
      </c>
      <c r="D63" s="27" t="s">
        <v>122</v>
      </c>
      <c r="E63" s="27" t="s">
        <v>120</v>
      </c>
      <c r="F63" s="89" t="s">
        <v>0</v>
      </c>
      <c r="G63" s="89" t="s">
        <v>0</v>
      </c>
      <c r="H63" s="89" t="s">
        <v>0</v>
      </c>
      <c r="I63" s="89" t="s">
        <v>490</v>
      </c>
      <c r="J63" s="89" t="s">
        <v>34</v>
      </c>
      <c r="K63" s="105">
        <v>42775</v>
      </c>
      <c r="L63" s="89" t="s">
        <v>0</v>
      </c>
      <c r="M63" s="95" t="s">
        <v>0</v>
      </c>
      <c r="N63" s="95" t="s">
        <v>0</v>
      </c>
      <c r="O63" s="95" t="s">
        <v>0</v>
      </c>
      <c r="P63" s="95" t="s">
        <v>0</v>
      </c>
      <c r="Q63" s="95" t="s">
        <v>0</v>
      </c>
      <c r="R63" s="95"/>
      <c r="S63" s="95" t="s">
        <v>0</v>
      </c>
    </row>
    <row r="64" spans="1:19" ht="87.75" customHeight="1" x14ac:dyDescent="0.2">
      <c r="A64" s="103" t="s">
        <v>0</v>
      </c>
      <c r="B64" s="104" t="s">
        <v>0</v>
      </c>
      <c r="C64" s="27" t="s">
        <v>30</v>
      </c>
      <c r="D64" s="27" t="s">
        <v>108</v>
      </c>
      <c r="E64" s="27" t="s">
        <v>32</v>
      </c>
      <c r="F64" s="90"/>
      <c r="G64" s="90"/>
      <c r="H64" s="90"/>
      <c r="I64" s="90"/>
      <c r="J64" s="90"/>
      <c r="K64" s="90"/>
      <c r="L64" s="90"/>
      <c r="M64" s="96"/>
      <c r="N64" s="96"/>
      <c r="O64" s="96"/>
      <c r="P64" s="96"/>
      <c r="Q64" s="96"/>
      <c r="R64" s="96"/>
      <c r="S64" s="96"/>
    </row>
    <row r="65" spans="1:19" ht="87.75" customHeight="1" x14ac:dyDescent="0.2">
      <c r="A65" s="103" t="s">
        <v>0</v>
      </c>
      <c r="B65" s="104" t="s">
        <v>0</v>
      </c>
      <c r="C65" s="27" t="s">
        <v>123</v>
      </c>
      <c r="D65" s="27" t="s">
        <v>124</v>
      </c>
      <c r="E65" s="27" t="s">
        <v>125</v>
      </c>
      <c r="F65" s="89" t="s">
        <v>0</v>
      </c>
      <c r="G65" s="89" t="s">
        <v>0</v>
      </c>
      <c r="H65" s="89" t="s">
        <v>0</v>
      </c>
      <c r="I65" s="89" t="s">
        <v>491</v>
      </c>
      <c r="J65" s="89" t="s">
        <v>34</v>
      </c>
      <c r="K65" s="105">
        <v>42763</v>
      </c>
      <c r="L65" s="89" t="s">
        <v>0</v>
      </c>
      <c r="M65" s="95" t="s">
        <v>0</v>
      </c>
      <c r="N65" s="95" t="s">
        <v>0</v>
      </c>
      <c r="O65" s="95" t="s">
        <v>0</v>
      </c>
      <c r="P65" s="95" t="s">
        <v>0</v>
      </c>
      <c r="Q65" s="95" t="s">
        <v>0</v>
      </c>
      <c r="R65" s="95"/>
      <c r="S65" s="95" t="s">
        <v>0</v>
      </c>
    </row>
    <row r="66" spans="1:19" ht="90.75" customHeight="1" x14ac:dyDescent="0.2">
      <c r="A66" s="103" t="s">
        <v>0</v>
      </c>
      <c r="B66" s="104" t="s">
        <v>0</v>
      </c>
      <c r="C66" s="27" t="s">
        <v>123</v>
      </c>
      <c r="D66" s="27" t="s">
        <v>126</v>
      </c>
      <c r="E66" s="27" t="s">
        <v>125</v>
      </c>
      <c r="F66" s="90"/>
      <c r="G66" s="90"/>
      <c r="H66" s="90"/>
      <c r="I66" s="90"/>
      <c r="J66" s="90"/>
      <c r="K66" s="90"/>
      <c r="L66" s="90"/>
      <c r="M66" s="96"/>
      <c r="N66" s="96"/>
      <c r="O66" s="96"/>
      <c r="P66" s="96"/>
      <c r="Q66" s="96"/>
      <c r="R66" s="96"/>
      <c r="S66" s="96"/>
    </row>
    <row r="67" spans="1:19" ht="86.25" customHeight="1" x14ac:dyDescent="0.2">
      <c r="A67" s="103" t="s">
        <v>127</v>
      </c>
      <c r="B67" s="104" t="s">
        <v>128</v>
      </c>
      <c r="C67" s="27" t="s">
        <v>129</v>
      </c>
      <c r="D67" s="27" t="s">
        <v>130</v>
      </c>
      <c r="E67" s="27" t="s">
        <v>131</v>
      </c>
      <c r="F67" s="27" t="s">
        <v>0</v>
      </c>
      <c r="G67" s="27" t="s">
        <v>0</v>
      </c>
      <c r="H67" s="27" t="s">
        <v>0</v>
      </c>
      <c r="I67" s="27" t="s">
        <v>414</v>
      </c>
      <c r="J67" s="27" t="s">
        <v>425</v>
      </c>
      <c r="K67" s="34">
        <v>38717</v>
      </c>
      <c r="L67" s="27" t="s">
        <v>132</v>
      </c>
      <c r="M67" s="1">
        <f>135.03886+45.09</f>
        <v>180.12886</v>
      </c>
      <c r="N67" s="1">
        <f>121.42456+45.09</f>
        <v>166.51456000000002</v>
      </c>
      <c r="O67" s="1">
        <f>350</f>
        <v>350</v>
      </c>
      <c r="P67" s="1">
        <f>350</f>
        <v>350</v>
      </c>
      <c r="Q67" s="1">
        <f>350</f>
        <v>350</v>
      </c>
      <c r="R67" s="1">
        <f>350</f>
        <v>350</v>
      </c>
      <c r="S67" s="1" t="s">
        <v>0</v>
      </c>
    </row>
    <row r="68" spans="1:19" ht="66" customHeight="1" x14ac:dyDescent="0.2">
      <c r="A68" s="103" t="s">
        <v>0</v>
      </c>
      <c r="B68" s="104" t="s">
        <v>0</v>
      </c>
      <c r="C68" s="27" t="s">
        <v>129</v>
      </c>
      <c r="D68" s="27" t="s">
        <v>133</v>
      </c>
      <c r="E68" s="27" t="s">
        <v>131</v>
      </c>
      <c r="F68" s="89" t="s">
        <v>0</v>
      </c>
      <c r="G68" s="89" t="s">
        <v>0</v>
      </c>
      <c r="H68" s="89" t="s">
        <v>0</v>
      </c>
      <c r="I68" s="89" t="s">
        <v>492</v>
      </c>
      <c r="J68" s="89" t="s">
        <v>34</v>
      </c>
      <c r="K68" s="105">
        <v>42247</v>
      </c>
      <c r="L68" s="89" t="s">
        <v>0</v>
      </c>
      <c r="M68" s="95" t="s">
        <v>0</v>
      </c>
      <c r="N68" s="95" t="s">
        <v>0</v>
      </c>
      <c r="O68" s="95" t="s">
        <v>0</v>
      </c>
      <c r="P68" s="95" t="s">
        <v>0</v>
      </c>
      <c r="Q68" s="95" t="s">
        <v>0</v>
      </c>
      <c r="R68" s="95"/>
      <c r="S68" s="95" t="s">
        <v>0</v>
      </c>
    </row>
    <row r="69" spans="1:19" ht="94.5" customHeight="1" x14ac:dyDescent="0.2">
      <c r="A69" s="103" t="s">
        <v>0</v>
      </c>
      <c r="B69" s="104" t="s">
        <v>0</v>
      </c>
      <c r="C69" s="27" t="s">
        <v>30</v>
      </c>
      <c r="D69" s="27" t="s">
        <v>134</v>
      </c>
      <c r="E69" s="27" t="s">
        <v>32</v>
      </c>
      <c r="F69" s="90"/>
      <c r="G69" s="90"/>
      <c r="H69" s="90"/>
      <c r="I69" s="90"/>
      <c r="J69" s="90"/>
      <c r="K69" s="90"/>
      <c r="L69" s="90"/>
      <c r="M69" s="96"/>
      <c r="N69" s="96"/>
      <c r="O69" s="96"/>
      <c r="P69" s="96"/>
      <c r="Q69" s="96"/>
      <c r="R69" s="96"/>
      <c r="S69" s="96"/>
    </row>
    <row r="70" spans="1:19" ht="140.25" customHeight="1" x14ac:dyDescent="0.2">
      <c r="A70" s="91" t="s">
        <v>135</v>
      </c>
      <c r="B70" s="89" t="s">
        <v>136</v>
      </c>
      <c r="C70" s="89" t="s">
        <v>30</v>
      </c>
      <c r="D70" s="89" t="s">
        <v>137</v>
      </c>
      <c r="E70" s="89" t="s">
        <v>32</v>
      </c>
      <c r="F70" s="89" t="s">
        <v>0</v>
      </c>
      <c r="G70" s="89" t="s">
        <v>0</v>
      </c>
      <c r="H70" s="89" t="s">
        <v>0</v>
      </c>
      <c r="I70" s="30" t="s">
        <v>493</v>
      </c>
      <c r="J70" s="30" t="s">
        <v>34</v>
      </c>
      <c r="K70" s="34">
        <v>42247</v>
      </c>
      <c r="L70" s="30" t="s">
        <v>138</v>
      </c>
      <c r="M70" s="1">
        <f>56.423+20.34+198.94894</f>
        <v>275.71194000000003</v>
      </c>
      <c r="N70" s="1">
        <f>56.423+20.34+147.94428</f>
        <v>224.70728</v>
      </c>
      <c r="O70" s="1">
        <f>102.1+0.2+2+1.6+10+4.4+67.9+58.2+14.7</f>
        <v>261.09999999999997</v>
      </c>
      <c r="P70" s="1">
        <f>102.1+145.2+14.1</f>
        <v>261.39999999999998</v>
      </c>
      <c r="Q70" s="1">
        <f>102.1+145.2+14.1</f>
        <v>261.39999999999998</v>
      </c>
      <c r="R70" s="1">
        <f>102.1+145.2+14.1</f>
        <v>261.39999999999998</v>
      </c>
      <c r="S70" s="1" t="s">
        <v>0</v>
      </c>
    </row>
    <row r="71" spans="1:19" ht="159.75" customHeight="1" x14ac:dyDescent="0.2">
      <c r="A71" s="92"/>
      <c r="B71" s="94"/>
      <c r="C71" s="94"/>
      <c r="D71" s="94"/>
      <c r="E71" s="94"/>
      <c r="F71" s="94"/>
      <c r="G71" s="94"/>
      <c r="H71" s="94"/>
      <c r="I71" s="41" t="s">
        <v>468</v>
      </c>
      <c r="J71" s="41" t="s">
        <v>34</v>
      </c>
      <c r="K71" s="34">
        <v>42754</v>
      </c>
      <c r="L71" s="41"/>
      <c r="M71" s="1"/>
      <c r="N71" s="1"/>
      <c r="O71" s="1"/>
      <c r="P71" s="1"/>
      <c r="Q71" s="1"/>
      <c r="R71" s="1"/>
      <c r="S71" s="1"/>
    </row>
    <row r="72" spans="1:19" ht="209.25" customHeight="1" x14ac:dyDescent="0.2">
      <c r="A72" s="93"/>
      <c r="B72" s="90"/>
      <c r="C72" s="90"/>
      <c r="D72" s="90"/>
      <c r="E72" s="90"/>
      <c r="F72" s="90"/>
      <c r="G72" s="90"/>
      <c r="H72" s="90"/>
      <c r="I72" s="36" t="s">
        <v>494</v>
      </c>
      <c r="J72" s="30" t="s">
        <v>34</v>
      </c>
      <c r="K72" s="34">
        <v>42605</v>
      </c>
      <c r="L72" s="30"/>
      <c r="M72" s="1"/>
      <c r="N72" s="1"/>
      <c r="O72" s="1"/>
      <c r="P72" s="1"/>
      <c r="Q72" s="1"/>
      <c r="R72" s="1"/>
      <c r="S72" s="1"/>
    </row>
    <row r="73" spans="1:19" ht="135.75" customHeight="1" x14ac:dyDescent="0.2">
      <c r="A73" s="103" t="s">
        <v>139</v>
      </c>
      <c r="B73" s="104" t="s">
        <v>140</v>
      </c>
      <c r="C73" s="27" t="s">
        <v>141</v>
      </c>
      <c r="D73" s="27" t="s">
        <v>142</v>
      </c>
      <c r="E73" s="27" t="s">
        <v>143</v>
      </c>
      <c r="F73" s="27" t="s">
        <v>0</v>
      </c>
      <c r="G73" s="27" t="s">
        <v>0</v>
      </c>
      <c r="H73" s="27" t="s">
        <v>0</v>
      </c>
      <c r="I73" s="27" t="s">
        <v>477</v>
      </c>
      <c r="J73" s="27" t="s">
        <v>34</v>
      </c>
      <c r="K73" s="34">
        <v>42247</v>
      </c>
      <c r="L73" s="27" t="s">
        <v>144</v>
      </c>
      <c r="M73" s="1">
        <f>59.103+12181.09409+226.3001</f>
        <v>12466.49719</v>
      </c>
      <c r="N73" s="1">
        <f>59.103+12181.09409+226.3001</f>
        <v>12466.49719</v>
      </c>
      <c r="O73" s="1">
        <f>264.6+2488.437+53</f>
        <v>2806.0369999999998</v>
      </c>
      <c r="P73" s="1">
        <f>1244.25+53+275.2+2583.29333</f>
        <v>4155.7433300000002</v>
      </c>
      <c r="Q73" s="1">
        <f>1244.25+53+285.9+2651.73852</f>
        <v>4234.8885200000004</v>
      </c>
      <c r="R73" s="1">
        <f>1244.25+53+296.6</f>
        <v>1593.85</v>
      </c>
      <c r="S73" s="1" t="s">
        <v>0</v>
      </c>
    </row>
    <row r="74" spans="1:19" ht="131.25" customHeight="1" x14ac:dyDescent="0.2">
      <c r="A74" s="103" t="s">
        <v>0</v>
      </c>
      <c r="B74" s="104" t="s">
        <v>0</v>
      </c>
      <c r="C74" s="27" t="s">
        <v>30</v>
      </c>
      <c r="D74" s="27" t="s">
        <v>145</v>
      </c>
      <c r="E74" s="27" t="s">
        <v>32</v>
      </c>
      <c r="F74" s="27" t="s">
        <v>0</v>
      </c>
      <c r="G74" s="27" t="s">
        <v>0</v>
      </c>
      <c r="H74" s="27" t="s">
        <v>0</v>
      </c>
      <c r="I74" s="30" t="s">
        <v>495</v>
      </c>
      <c r="J74" s="27" t="s">
        <v>34</v>
      </c>
      <c r="K74" s="34">
        <v>43724</v>
      </c>
      <c r="L74" s="27" t="s">
        <v>0</v>
      </c>
      <c r="M74" s="1" t="s">
        <v>0</v>
      </c>
      <c r="N74" s="1" t="s">
        <v>0</v>
      </c>
      <c r="O74" s="1" t="s">
        <v>0</v>
      </c>
      <c r="P74" s="1" t="s">
        <v>0</v>
      </c>
      <c r="Q74" s="1" t="s">
        <v>0</v>
      </c>
      <c r="R74" s="1"/>
      <c r="S74" s="1" t="s">
        <v>0</v>
      </c>
    </row>
    <row r="75" spans="1:19" ht="189.75" customHeight="1" x14ac:dyDescent="0.2">
      <c r="A75" s="103" t="s">
        <v>0</v>
      </c>
      <c r="B75" s="104" t="s">
        <v>0</v>
      </c>
      <c r="C75" s="27" t="s">
        <v>146</v>
      </c>
      <c r="D75" s="27" t="s">
        <v>34</v>
      </c>
      <c r="E75" s="27" t="s">
        <v>57</v>
      </c>
      <c r="F75" s="27" t="s">
        <v>0</v>
      </c>
      <c r="G75" s="27" t="s">
        <v>0</v>
      </c>
      <c r="H75" s="27" t="s">
        <v>0</v>
      </c>
      <c r="I75" s="27" t="s">
        <v>476</v>
      </c>
      <c r="J75" s="27" t="s">
        <v>34</v>
      </c>
      <c r="K75" s="34">
        <v>42247</v>
      </c>
      <c r="L75" s="27"/>
      <c r="M75" s="1"/>
      <c r="N75" s="1"/>
      <c r="O75" s="1"/>
      <c r="P75" s="1"/>
      <c r="Q75" s="1"/>
      <c r="R75" s="1"/>
      <c r="S75" s="1" t="s">
        <v>0</v>
      </c>
    </row>
    <row r="76" spans="1:19" ht="50.25" customHeight="1" x14ac:dyDescent="0.2">
      <c r="A76" s="26" t="s">
        <v>150</v>
      </c>
      <c r="B76" s="27" t="s">
        <v>151</v>
      </c>
      <c r="C76" s="27" t="s">
        <v>0</v>
      </c>
      <c r="D76" s="27" t="s">
        <v>0</v>
      </c>
      <c r="E76" s="27" t="s">
        <v>0</v>
      </c>
      <c r="F76" s="27" t="s">
        <v>0</v>
      </c>
      <c r="G76" s="27" t="s">
        <v>0</v>
      </c>
      <c r="H76" s="27" t="s">
        <v>0</v>
      </c>
      <c r="I76" s="27" t="s">
        <v>0</v>
      </c>
      <c r="J76" s="27" t="s">
        <v>0</v>
      </c>
      <c r="K76" s="27" t="s">
        <v>0</v>
      </c>
      <c r="L76" s="27" t="s">
        <v>469</v>
      </c>
      <c r="M76" s="1">
        <f>M77+M79</f>
        <v>32873.519290000004</v>
      </c>
      <c r="N76" s="1">
        <f t="shared" ref="N76:R76" si="3">N77+N79</f>
        <v>32873.519290000004</v>
      </c>
      <c r="O76" s="1">
        <f t="shared" si="3"/>
        <v>154459.71786</v>
      </c>
      <c r="P76" s="1">
        <f t="shared" si="3"/>
        <v>27942.841219999998</v>
      </c>
      <c r="Q76" s="1">
        <f t="shared" si="3"/>
        <v>52</v>
      </c>
      <c r="R76" s="1">
        <f t="shared" si="3"/>
        <v>54.4</v>
      </c>
      <c r="S76" s="1" t="s">
        <v>0</v>
      </c>
    </row>
    <row r="77" spans="1:19" ht="198" customHeight="1" x14ac:dyDescent="0.2">
      <c r="A77" s="103" t="s">
        <v>152</v>
      </c>
      <c r="B77" s="104" t="s">
        <v>153</v>
      </c>
      <c r="C77" s="27" t="s">
        <v>30</v>
      </c>
      <c r="D77" s="27" t="s">
        <v>154</v>
      </c>
      <c r="E77" s="27" t="s">
        <v>32</v>
      </c>
      <c r="F77" s="27" t="s">
        <v>0</v>
      </c>
      <c r="G77" s="27" t="s">
        <v>0</v>
      </c>
      <c r="H77" s="27" t="s">
        <v>0</v>
      </c>
      <c r="I77" s="27" t="s">
        <v>472</v>
      </c>
      <c r="J77" s="27" t="s">
        <v>34</v>
      </c>
      <c r="K77" s="34">
        <v>41996</v>
      </c>
      <c r="L77" s="27" t="s">
        <v>155</v>
      </c>
      <c r="M77" s="1">
        <f>44.8</f>
        <v>44.8</v>
      </c>
      <c r="N77" s="1">
        <f>44.8</f>
        <v>44.8</v>
      </c>
      <c r="O77" s="1">
        <v>46.4</v>
      </c>
      <c r="P77" s="1">
        <f>49.6</f>
        <v>49.6</v>
      </c>
      <c r="Q77" s="1">
        <f>52</f>
        <v>52</v>
      </c>
      <c r="R77" s="1">
        <v>54.4</v>
      </c>
      <c r="S77" s="1" t="s">
        <v>0</v>
      </c>
    </row>
    <row r="78" spans="1:19" ht="90.75" customHeight="1" x14ac:dyDescent="0.2">
      <c r="A78" s="103" t="s">
        <v>0</v>
      </c>
      <c r="B78" s="104" t="s">
        <v>0</v>
      </c>
      <c r="C78" s="27" t="s">
        <v>30</v>
      </c>
      <c r="D78" s="27" t="s">
        <v>156</v>
      </c>
      <c r="E78" s="27" t="s">
        <v>32</v>
      </c>
      <c r="F78" s="27" t="s">
        <v>0</v>
      </c>
      <c r="G78" s="27" t="s">
        <v>0</v>
      </c>
      <c r="H78" s="27" t="s">
        <v>0</v>
      </c>
      <c r="I78" s="27" t="s">
        <v>0</v>
      </c>
      <c r="J78" s="27" t="s">
        <v>0</v>
      </c>
      <c r="K78" s="27" t="s">
        <v>0</v>
      </c>
      <c r="L78" s="27" t="s">
        <v>0</v>
      </c>
      <c r="M78" s="1" t="s">
        <v>0</v>
      </c>
      <c r="N78" s="1" t="s">
        <v>0</v>
      </c>
      <c r="O78" s="1" t="s">
        <v>0</v>
      </c>
      <c r="P78" s="1" t="s">
        <v>0</v>
      </c>
      <c r="Q78" s="1" t="s">
        <v>0</v>
      </c>
      <c r="R78" s="1"/>
      <c r="S78" s="1" t="s">
        <v>0</v>
      </c>
    </row>
    <row r="79" spans="1:19" ht="135.75" customHeight="1" x14ac:dyDescent="0.2">
      <c r="A79" s="103" t="s">
        <v>157</v>
      </c>
      <c r="B79" s="104" t="s">
        <v>158</v>
      </c>
      <c r="C79" s="27" t="s">
        <v>30</v>
      </c>
      <c r="D79" s="27" t="s">
        <v>159</v>
      </c>
      <c r="E79" s="27" t="s">
        <v>32</v>
      </c>
      <c r="F79" s="27" t="s">
        <v>0</v>
      </c>
      <c r="G79" s="27" t="s">
        <v>0</v>
      </c>
      <c r="H79" s="27" t="s">
        <v>0</v>
      </c>
      <c r="I79" s="27" t="s">
        <v>477</v>
      </c>
      <c r="J79" s="27" t="s">
        <v>34</v>
      </c>
      <c r="K79" s="34">
        <v>42247</v>
      </c>
      <c r="L79" s="27" t="s">
        <v>160</v>
      </c>
      <c r="M79" s="1">
        <f>31801.97429+1026.745</f>
        <v>32828.719290000001</v>
      </c>
      <c r="N79" s="1">
        <f>31801.97429+1026.745</f>
        <v>32828.719290000001</v>
      </c>
      <c r="O79" s="1">
        <f>150+178+154085.31786</f>
        <v>154413.31786000001</v>
      </c>
      <c r="P79" s="1">
        <f>250+27643.24122</f>
        <v>27893.24122</v>
      </c>
      <c r="Q79" s="1">
        <f>0</f>
        <v>0</v>
      </c>
      <c r="R79" s="1">
        <f>0</f>
        <v>0</v>
      </c>
      <c r="S79" s="1"/>
    </row>
    <row r="80" spans="1:19" ht="160.5" customHeight="1" x14ac:dyDescent="0.2">
      <c r="A80" s="103" t="s">
        <v>0</v>
      </c>
      <c r="B80" s="104" t="s">
        <v>0</v>
      </c>
      <c r="C80" s="27" t="s">
        <v>30</v>
      </c>
      <c r="D80" s="27" t="s">
        <v>156</v>
      </c>
      <c r="E80" s="27" t="s">
        <v>32</v>
      </c>
      <c r="F80" s="27" t="s">
        <v>0</v>
      </c>
      <c r="G80" s="27" t="s">
        <v>0</v>
      </c>
      <c r="H80" s="27" t="s">
        <v>0</v>
      </c>
      <c r="I80" s="27" t="s">
        <v>496</v>
      </c>
      <c r="J80" s="27" t="s">
        <v>34</v>
      </c>
      <c r="K80" s="34">
        <v>42627</v>
      </c>
      <c r="L80" s="27" t="s">
        <v>0</v>
      </c>
      <c r="M80" s="1" t="s">
        <v>0</v>
      </c>
      <c r="N80" s="1" t="s">
        <v>0</v>
      </c>
      <c r="O80" s="1" t="s">
        <v>0</v>
      </c>
      <c r="P80" s="1" t="s">
        <v>0</v>
      </c>
      <c r="Q80" s="1" t="s">
        <v>0</v>
      </c>
      <c r="R80" s="1"/>
      <c r="S80" s="1" t="s">
        <v>0</v>
      </c>
    </row>
    <row r="81" spans="1:19" ht="189.75" customHeight="1" x14ac:dyDescent="0.2">
      <c r="A81" s="103" t="s">
        <v>0</v>
      </c>
      <c r="B81" s="104" t="s">
        <v>0</v>
      </c>
      <c r="C81" s="27" t="s">
        <v>146</v>
      </c>
      <c r="D81" s="27" t="s">
        <v>34</v>
      </c>
      <c r="E81" s="27" t="s">
        <v>57</v>
      </c>
      <c r="F81" s="27" t="s">
        <v>0</v>
      </c>
      <c r="G81" s="27" t="s">
        <v>0</v>
      </c>
      <c r="H81" s="27" t="s">
        <v>0</v>
      </c>
      <c r="I81" s="30" t="s">
        <v>497</v>
      </c>
      <c r="J81" s="27" t="s">
        <v>34</v>
      </c>
      <c r="K81" s="34">
        <v>43523</v>
      </c>
      <c r="L81" s="27"/>
      <c r="M81" s="1"/>
      <c r="N81" s="1"/>
      <c r="O81" s="1"/>
      <c r="P81" s="1"/>
      <c r="Q81" s="1"/>
      <c r="R81" s="1"/>
      <c r="S81" s="1"/>
    </row>
    <row r="82" spans="1:19" ht="124.5" customHeight="1" x14ac:dyDescent="0.2">
      <c r="A82" s="26" t="s">
        <v>163</v>
      </c>
      <c r="B82" s="27" t="s">
        <v>164</v>
      </c>
      <c r="C82" s="27" t="s">
        <v>0</v>
      </c>
      <c r="D82" s="27" t="s">
        <v>0</v>
      </c>
      <c r="E82" s="27" t="s">
        <v>0</v>
      </c>
      <c r="F82" s="27" t="s">
        <v>0</v>
      </c>
      <c r="G82" s="27" t="s">
        <v>0</v>
      </c>
      <c r="H82" s="27" t="s">
        <v>0</v>
      </c>
      <c r="I82" s="27" t="s">
        <v>0</v>
      </c>
      <c r="J82" s="27" t="s">
        <v>0</v>
      </c>
      <c r="K82" s="27" t="s">
        <v>0</v>
      </c>
      <c r="L82" s="27" t="s">
        <v>165</v>
      </c>
      <c r="M82" s="1">
        <f>M83+M86+M90+M92+M100+M102+M104+M106+M108+M96+M98</f>
        <v>47323.668529999995</v>
      </c>
      <c r="N82" s="1">
        <f t="shared" ref="N82:R82" si="4">N83+N86+N90+N92+N100+N102+N104+N106+N108+N96+N98</f>
        <v>45663.980789999994</v>
      </c>
      <c r="O82" s="1">
        <f t="shared" si="4"/>
        <v>30482.954000000002</v>
      </c>
      <c r="P82" s="1">
        <f t="shared" si="4"/>
        <v>26746.65</v>
      </c>
      <c r="Q82" s="1">
        <f t="shared" si="4"/>
        <v>26766.55</v>
      </c>
      <c r="R82" s="1">
        <f t="shared" si="4"/>
        <v>43848.1</v>
      </c>
      <c r="S82" s="1" t="s">
        <v>0</v>
      </c>
    </row>
    <row r="83" spans="1:19" ht="152.25" customHeight="1" x14ac:dyDescent="0.2">
      <c r="A83" s="91" t="s">
        <v>161</v>
      </c>
      <c r="B83" s="89" t="s">
        <v>166</v>
      </c>
      <c r="C83" s="27" t="s">
        <v>30</v>
      </c>
      <c r="D83" s="27" t="s">
        <v>167</v>
      </c>
      <c r="E83" s="27" t="s">
        <v>32</v>
      </c>
      <c r="F83" s="27" t="s">
        <v>168</v>
      </c>
      <c r="G83" s="27" t="s">
        <v>34</v>
      </c>
      <c r="H83" s="27" t="s">
        <v>125</v>
      </c>
      <c r="I83" s="27" t="s">
        <v>436</v>
      </c>
      <c r="J83" s="27" t="s">
        <v>34</v>
      </c>
      <c r="K83" s="34">
        <v>40702</v>
      </c>
      <c r="L83" s="27" t="s">
        <v>169</v>
      </c>
      <c r="M83" s="1">
        <f>1205.90451+53.186+4.24+165.66909</f>
        <v>1428.9996000000001</v>
      </c>
      <c r="N83" s="1">
        <f>1103.99714+53.186+4.24+165.66909</f>
        <v>1327.09223</v>
      </c>
      <c r="O83" s="1">
        <v>800.8</v>
      </c>
      <c r="P83" s="1">
        <v>857.7</v>
      </c>
      <c r="Q83" s="1">
        <v>882.6</v>
      </c>
      <c r="R83" s="1">
        <v>1529.7</v>
      </c>
      <c r="S83" s="1" t="s">
        <v>0</v>
      </c>
    </row>
    <row r="84" spans="1:19" ht="185.25" customHeight="1" x14ac:dyDescent="0.2">
      <c r="A84" s="92"/>
      <c r="B84" s="94"/>
      <c r="C84" s="89" t="s">
        <v>30</v>
      </c>
      <c r="D84" s="89" t="s">
        <v>170</v>
      </c>
      <c r="E84" s="89" t="s">
        <v>32</v>
      </c>
      <c r="F84" s="89" t="s">
        <v>0</v>
      </c>
      <c r="G84" s="89" t="s">
        <v>0</v>
      </c>
      <c r="H84" s="89" t="s">
        <v>0</v>
      </c>
      <c r="I84" s="27" t="s">
        <v>499</v>
      </c>
      <c r="J84" s="27" t="s">
        <v>34</v>
      </c>
      <c r="K84" s="34">
        <v>41996</v>
      </c>
      <c r="L84" s="27" t="s">
        <v>0</v>
      </c>
      <c r="M84" s="1"/>
      <c r="N84" s="1"/>
      <c r="O84" s="1" t="s">
        <v>0</v>
      </c>
      <c r="P84" s="1" t="s">
        <v>0</v>
      </c>
      <c r="Q84" s="1" t="s">
        <v>0</v>
      </c>
      <c r="R84" s="1"/>
      <c r="S84" s="1" t="s">
        <v>0</v>
      </c>
    </row>
    <row r="85" spans="1:19" ht="159.75" customHeight="1" x14ac:dyDescent="0.2">
      <c r="A85" s="93"/>
      <c r="B85" s="90"/>
      <c r="C85" s="90"/>
      <c r="D85" s="90"/>
      <c r="E85" s="90"/>
      <c r="F85" s="90"/>
      <c r="G85" s="90"/>
      <c r="H85" s="90"/>
      <c r="I85" s="52" t="s">
        <v>537</v>
      </c>
      <c r="J85" s="52" t="s">
        <v>34</v>
      </c>
      <c r="K85" s="34">
        <v>42744</v>
      </c>
      <c r="L85" s="30"/>
      <c r="M85" s="1"/>
      <c r="N85" s="1"/>
      <c r="O85" s="1"/>
      <c r="P85" s="1"/>
      <c r="Q85" s="1"/>
      <c r="R85" s="1"/>
      <c r="S85" s="1"/>
    </row>
    <row r="86" spans="1:19" ht="186" customHeight="1" x14ac:dyDescent="0.2">
      <c r="A86" s="91" t="s">
        <v>162</v>
      </c>
      <c r="B86" s="89" t="s">
        <v>171</v>
      </c>
      <c r="C86" s="27" t="s">
        <v>172</v>
      </c>
      <c r="D86" s="27" t="s">
        <v>173</v>
      </c>
      <c r="E86" s="27" t="s">
        <v>174</v>
      </c>
      <c r="F86" s="27" t="s">
        <v>168</v>
      </c>
      <c r="G86" s="27" t="s">
        <v>34</v>
      </c>
      <c r="H86" s="27" t="s">
        <v>125</v>
      </c>
      <c r="I86" s="27" t="s">
        <v>426</v>
      </c>
      <c r="J86" s="27" t="s">
        <v>34</v>
      </c>
      <c r="K86" s="34">
        <v>40702</v>
      </c>
      <c r="L86" s="27" t="s">
        <v>169</v>
      </c>
      <c r="M86" s="1">
        <f>28642.20901</f>
        <v>28642.209009999999</v>
      </c>
      <c r="N86" s="1">
        <f>27970.66227</f>
        <v>27970.662270000001</v>
      </c>
      <c r="O86" s="1">
        <f>17403.34933</f>
        <v>17403.349330000001</v>
      </c>
      <c r="P86" s="1">
        <f>17748.2</f>
        <v>17748.2</v>
      </c>
      <c r="Q86" s="1">
        <f>17660.7</f>
        <v>17660.7</v>
      </c>
      <c r="R86" s="1">
        <v>30320.7</v>
      </c>
      <c r="S86" s="1"/>
    </row>
    <row r="87" spans="1:19" ht="225.75" customHeight="1" x14ac:dyDescent="0.2">
      <c r="A87" s="92"/>
      <c r="B87" s="94"/>
      <c r="C87" s="27" t="s">
        <v>30</v>
      </c>
      <c r="D87" s="27" t="s">
        <v>167</v>
      </c>
      <c r="E87" s="27" t="s">
        <v>32</v>
      </c>
      <c r="F87" s="27" t="s">
        <v>0</v>
      </c>
      <c r="G87" s="27" t="s">
        <v>0</v>
      </c>
      <c r="H87" s="27" t="s">
        <v>0</v>
      </c>
      <c r="I87" s="27" t="s">
        <v>498</v>
      </c>
      <c r="J87" s="27" t="s">
        <v>34</v>
      </c>
      <c r="K87" s="34">
        <v>41382</v>
      </c>
      <c r="L87" s="27" t="s">
        <v>0</v>
      </c>
      <c r="M87" s="1" t="s">
        <v>0</v>
      </c>
      <c r="N87" s="1" t="s">
        <v>0</v>
      </c>
      <c r="O87" s="1" t="s">
        <v>0</v>
      </c>
      <c r="P87" s="1" t="s">
        <v>0</v>
      </c>
      <c r="Q87" s="1" t="s">
        <v>0</v>
      </c>
      <c r="R87" s="1"/>
      <c r="S87" s="1" t="s">
        <v>0</v>
      </c>
    </row>
    <row r="88" spans="1:19" ht="201" customHeight="1" x14ac:dyDescent="0.2">
      <c r="A88" s="92"/>
      <c r="B88" s="94"/>
      <c r="C88" s="89" t="s">
        <v>30</v>
      </c>
      <c r="D88" s="89" t="s">
        <v>170</v>
      </c>
      <c r="E88" s="89" t="s">
        <v>32</v>
      </c>
      <c r="F88" s="89" t="s">
        <v>0</v>
      </c>
      <c r="G88" s="89" t="s">
        <v>0</v>
      </c>
      <c r="H88" s="89" t="s">
        <v>0</v>
      </c>
      <c r="I88" s="30" t="s">
        <v>499</v>
      </c>
      <c r="J88" s="30" t="s">
        <v>34</v>
      </c>
      <c r="K88" s="34">
        <v>41996</v>
      </c>
      <c r="L88" s="30"/>
      <c r="M88" s="1"/>
      <c r="N88" s="1"/>
      <c r="O88" s="1"/>
      <c r="P88" s="1"/>
      <c r="Q88" s="1"/>
      <c r="R88" s="1"/>
      <c r="S88" s="1"/>
    </row>
    <row r="89" spans="1:19" ht="160.5" customHeight="1" x14ac:dyDescent="0.2">
      <c r="A89" s="93"/>
      <c r="B89" s="90"/>
      <c r="C89" s="90"/>
      <c r="D89" s="90"/>
      <c r="E89" s="90"/>
      <c r="F89" s="90"/>
      <c r="G89" s="90"/>
      <c r="H89" s="90"/>
      <c r="I89" s="27" t="s">
        <v>537</v>
      </c>
      <c r="J89" s="27" t="s">
        <v>34</v>
      </c>
      <c r="K89" s="34">
        <v>42744</v>
      </c>
      <c r="L89" s="27" t="s">
        <v>0</v>
      </c>
      <c r="M89" s="1" t="s">
        <v>0</v>
      </c>
      <c r="N89" s="1" t="s">
        <v>0</v>
      </c>
      <c r="O89" s="1" t="s">
        <v>0</v>
      </c>
      <c r="P89" s="1" t="s">
        <v>0</v>
      </c>
      <c r="Q89" s="1" t="s">
        <v>0</v>
      </c>
      <c r="R89" s="1"/>
      <c r="S89" s="1" t="s">
        <v>0</v>
      </c>
    </row>
    <row r="90" spans="1:19" ht="126.75" customHeight="1" x14ac:dyDescent="0.2">
      <c r="A90" s="103" t="s">
        <v>175</v>
      </c>
      <c r="B90" s="104" t="s">
        <v>176</v>
      </c>
      <c r="C90" s="27" t="s">
        <v>30</v>
      </c>
      <c r="D90" s="27" t="s">
        <v>167</v>
      </c>
      <c r="E90" s="27" t="s">
        <v>32</v>
      </c>
      <c r="F90" s="27" t="s">
        <v>0</v>
      </c>
      <c r="G90" s="27" t="s">
        <v>0</v>
      </c>
      <c r="H90" s="27" t="s">
        <v>0</v>
      </c>
      <c r="I90" s="27" t="s">
        <v>415</v>
      </c>
      <c r="J90" s="27" t="s">
        <v>34</v>
      </c>
      <c r="K90" s="34">
        <v>42485</v>
      </c>
      <c r="L90" s="27" t="s">
        <v>177</v>
      </c>
      <c r="M90" s="1">
        <f>8.9</f>
        <v>8.9</v>
      </c>
      <c r="N90" s="1">
        <f>8.8533</f>
        <v>8.8533000000000008</v>
      </c>
      <c r="O90" s="1">
        <v>7</v>
      </c>
      <c r="P90" s="1">
        <f>7</f>
        <v>7</v>
      </c>
      <c r="Q90" s="1">
        <f>6.7</f>
        <v>6.7</v>
      </c>
      <c r="R90" s="1">
        <f>6.7</f>
        <v>6.7</v>
      </c>
      <c r="S90" s="1"/>
    </row>
    <row r="91" spans="1:19" ht="198.75" customHeight="1" x14ac:dyDescent="0.2">
      <c r="A91" s="103" t="s">
        <v>0</v>
      </c>
      <c r="B91" s="104" t="s">
        <v>0</v>
      </c>
      <c r="C91" s="27" t="s">
        <v>30</v>
      </c>
      <c r="D91" s="27" t="s">
        <v>178</v>
      </c>
      <c r="E91" s="27" t="s">
        <v>32</v>
      </c>
      <c r="F91" s="27" t="s">
        <v>0</v>
      </c>
      <c r="G91" s="27" t="s">
        <v>0</v>
      </c>
      <c r="H91" s="27" t="s">
        <v>0</v>
      </c>
      <c r="I91" s="30" t="s">
        <v>499</v>
      </c>
      <c r="J91" s="30" t="s">
        <v>34</v>
      </c>
      <c r="K91" s="34">
        <v>41996</v>
      </c>
      <c r="L91" s="27" t="s">
        <v>0</v>
      </c>
      <c r="M91" s="1" t="s">
        <v>0</v>
      </c>
      <c r="N91" s="1" t="s">
        <v>0</v>
      </c>
      <c r="O91" s="1" t="s">
        <v>0</v>
      </c>
      <c r="P91" s="1" t="s">
        <v>0</v>
      </c>
      <c r="Q91" s="1" t="s">
        <v>0</v>
      </c>
      <c r="R91" s="1"/>
      <c r="S91" s="1" t="s">
        <v>0</v>
      </c>
    </row>
    <row r="92" spans="1:19" ht="179.25" customHeight="1" x14ac:dyDescent="0.2">
      <c r="A92" s="103" t="s">
        <v>179</v>
      </c>
      <c r="B92" s="104" t="s">
        <v>180</v>
      </c>
      <c r="C92" s="27" t="s">
        <v>118</v>
      </c>
      <c r="D92" s="27" t="s">
        <v>181</v>
      </c>
      <c r="E92" s="27" t="s">
        <v>120</v>
      </c>
      <c r="F92" s="27" t="s">
        <v>0</v>
      </c>
      <c r="G92" s="27" t="s">
        <v>0</v>
      </c>
      <c r="H92" s="27" t="s">
        <v>0</v>
      </c>
      <c r="I92" s="27" t="s">
        <v>424</v>
      </c>
      <c r="J92" s="27" t="s">
        <v>34</v>
      </c>
      <c r="K92" s="34">
        <v>39892</v>
      </c>
      <c r="L92" s="27" t="s">
        <v>36</v>
      </c>
      <c r="M92" s="1">
        <f>623.94369+1142.2+7106.52542+295.02615+509.491+173.31834</f>
        <v>9850.5045999999984</v>
      </c>
      <c r="N92" s="1">
        <f>594.54174+1112.22627+6851.3488+295.02615+154.491+173.31834</f>
        <v>9180.952299999999</v>
      </c>
      <c r="O92" s="1">
        <f>880.5+581.1+6001.8+755.95067+150.3+43+37</f>
        <v>8449.6506699999991</v>
      </c>
      <c r="P92" s="1">
        <f>581.1+2069.4+1081.95+310.1+822.1+40.5+30+150.3+80</f>
        <v>5165.45</v>
      </c>
      <c r="Q92" s="1">
        <f>581.1+2069.4+1062.95+310.1+822.1+42+30+150.3+90+10</f>
        <v>5167.95</v>
      </c>
      <c r="R92" s="1">
        <f>581.1+2069.4+4829.7+310.1+822.1+77.8+150.3+80</f>
        <v>8920.4999999999982</v>
      </c>
      <c r="S92" s="1"/>
    </row>
    <row r="93" spans="1:19" ht="188.25" customHeight="1" x14ac:dyDescent="0.2">
      <c r="A93" s="103" t="s">
        <v>0</v>
      </c>
      <c r="B93" s="104" t="s">
        <v>0</v>
      </c>
      <c r="C93" s="27" t="s">
        <v>182</v>
      </c>
      <c r="D93" s="27" t="s">
        <v>183</v>
      </c>
      <c r="E93" s="27" t="s">
        <v>184</v>
      </c>
      <c r="F93" s="27" t="s">
        <v>0</v>
      </c>
      <c r="G93" s="27" t="s">
        <v>0</v>
      </c>
      <c r="H93" s="27" t="s">
        <v>0</v>
      </c>
      <c r="I93" s="27" t="s">
        <v>423</v>
      </c>
      <c r="J93" s="34" t="s">
        <v>34</v>
      </c>
      <c r="K93" s="34">
        <v>42457</v>
      </c>
      <c r="L93" s="27" t="s">
        <v>0</v>
      </c>
      <c r="M93" s="1" t="s">
        <v>0</v>
      </c>
      <c r="N93" s="1" t="s">
        <v>0</v>
      </c>
      <c r="O93" s="1" t="s">
        <v>0</v>
      </c>
      <c r="P93" s="1" t="s">
        <v>0</v>
      </c>
      <c r="Q93" s="1" t="s">
        <v>0</v>
      </c>
      <c r="R93" s="1"/>
      <c r="S93" s="1" t="s">
        <v>0</v>
      </c>
    </row>
    <row r="94" spans="1:19" ht="150.75" customHeight="1" x14ac:dyDescent="0.2">
      <c r="A94" s="103" t="s">
        <v>0</v>
      </c>
      <c r="B94" s="104" t="s">
        <v>0</v>
      </c>
      <c r="C94" s="27" t="s">
        <v>30</v>
      </c>
      <c r="D94" s="27" t="s">
        <v>185</v>
      </c>
      <c r="E94" s="27" t="s">
        <v>32</v>
      </c>
      <c r="F94" s="27" t="s">
        <v>0</v>
      </c>
      <c r="G94" s="27" t="s">
        <v>0</v>
      </c>
      <c r="H94" s="27" t="s">
        <v>0</v>
      </c>
      <c r="I94" s="30" t="s">
        <v>486</v>
      </c>
      <c r="J94" s="30" t="s">
        <v>34</v>
      </c>
      <c r="K94" s="34">
        <v>42247</v>
      </c>
      <c r="L94" s="27" t="s">
        <v>0</v>
      </c>
      <c r="M94" s="1" t="s">
        <v>0</v>
      </c>
      <c r="N94" s="1" t="s">
        <v>0</v>
      </c>
      <c r="O94" s="1" t="s">
        <v>0</v>
      </c>
      <c r="P94" s="1" t="s">
        <v>0</v>
      </c>
      <c r="Q94" s="1" t="s">
        <v>0</v>
      </c>
      <c r="R94" s="1"/>
      <c r="S94" s="1" t="s">
        <v>0</v>
      </c>
    </row>
    <row r="95" spans="1:19" ht="188.25" customHeight="1" x14ac:dyDescent="0.2">
      <c r="A95" s="103" t="s">
        <v>0</v>
      </c>
      <c r="B95" s="104" t="s">
        <v>0</v>
      </c>
      <c r="C95" s="27" t="s">
        <v>186</v>
      </c>
      <c r="D95" s="27" t="s">
        <v>34</v>
      </c>
      <c r="E95" s="27" t="s">
        <v>149</v>
      </c>
      <c r="F95" s="27" t="s">
        <v>0</v>
      </c>
      <c r="G95" s="27" t="s">
        <v>0</v>
      </c>
      <c r="H95" s="27" t="s">
        <v>0</v>
      </c>
      <c r="I95" s="30" t="s">
        <v>487</v>
      </c>
      <c r="J95" s="30" t="s">
        <v>34</v>
      </c>
      <c r="K95" s="34">
        <v>39749</v>
      </c>
      <c r="L95" s="27"/>
      <c r="M95" s="1"/>
      <c r="N95" s="1"/>
      <c r="O95" s="1"/>
      <c r="P95" s="1"/>
      <c r="Q95" s="1"/>
      <c r="R95" s="1"/>
      <c r="S95" s="1"/>
    </row>
    <row r="96" spans="1:19" ht="105" customHeight="1" x14ac:dyDescent="0.2">
      <c r="A96" s="91" t="s">
        <v>519</v>
      </c>
      <c r="B96" s="105" t="s">
        <v>517</v>
      </c>
      <c r="C96" s="44" t="s">
        <v>30</v>
      </c>
      <c r="D96" s="44" t="s">
        <v>522</v>
      </c>
      <c r="E96" s="44" t="s">
        <v>32</v>
      </c>
      <c r="F96" s="44"/>
      <c r="G96" s="44"/>
      <c r="H96" s="44"/>
      <c r="I96" s="89" t="s">
        <v>525</v>
      </c>
      <c r="J96" s="89" t="s">
        <v>34</v>
      </c>
      <c r="K96" s="105">
        <v>44019</v>
      </c>
      <c r="L96" s="44" t="s">
        <v>160</v>
      </c>
      <c r="M96" s="1">
        <f>100+1897.60957</f>
        <v>1997.6095700000001</v>
      </c>
      <c r="N96" s="1">
        <f>100+1680.97494</f>
        <v>1780.9749400000001</v>
      </c>
      <c r="O96" s="1">
        <f>813.454</f>
        <v>813.45399999999995</v>
      </c>
      <c r="P96" s="1">
        <v>0</v>
      </c>
      <c r="Q96" s="1">
        <v>0</v>
      </c>
      <c r="R96" s="1">
        <v>0</v>
      </c>
      <c r="S96" s="1"/>
    </row>
    <row r="97" spans="1:19" ht="235.5" customHeight="1" x14ac:dyDescent="0.2">
      <c r="A97" s="93"/>
      <c r="B97" s="106"/>
      <c r="C97" s="44" t="s">
        <v>521</v>
      </c>
      <c r="D97" s="44" t="s">
        <v>524</v>
      </c>
      <c r="E97" s="34">
        <v>40386</v>
      </c>
      <c r="F97" s="44"/>
      <c r="G97" s="44"/>
      <c r="H97" s="44"/>
      <c r="I97" s="90"/>
      <c r="J97" s="90"/>
      <c r="K97" s="106"/>
      <c r="L97" s="44"/>
      <c r="M97" s="1"/>
      <c r="N97" s="1"/>
      <c r="O97" s="1"/>
      <c r="P97" s="1"/>
      <c r="Q97" s="1"/>
      <c r="R97" s="1"/>
      <c r="S97" s="1"/>
    </row>
    <row r="98" spans="1:19" ht="93" customHeight="1" x14ac:dyDescent="0.2">
      <c r="A98" s="91" t="s">
        <v>520</v>
      </c>
      <c r="B98" s="105" t="s">
        <v>518</v>
      </c>
      <c r="C98" s="44" t="s">
        <v>30</v>
      </c>
      <c r="D98" s="44" t="s">
        <v>523</v>
      </c>
      <c r="E98" s="44" t="s">
        <v>32</v>
      </c>
      <c r="F98" s="44"/>
      <c r="G98" s="44"/>
      <c r="H98" s="44"/>
      <c r="I98" s="89" t="s">
        <v>527</v>
      </c>
      <c r="J98" s="89" t="s">
        <v>34</v>
      </c>
      <c r="K98" s="105">
        <v>42798</v>
      </c>
      <c r="L98" s="44" t="s">
        <v>160</v>
      </c>
      <c r="M98" s="1">
        <v>1000</v>
      </c>
      <c r="N98" s="1">
        <v>1000</v>
      </c>
      <c r="O98" s="1">
        <v>0</v>
      </c>
      <c r="P98" s="1">
        <v>0</v>
      </c>
      <c r="Q98" s="1">
        <v>0</v>
      </c>
      <c r="R98" s="1">
        <v>0</v>
      </c>
      <c r="S98" s="1"/>
    </row>
    <row r="99" spans="1:19" ht="169.5" customHeight="1" x14ac:dyDescent="0.2">
      <c r="A99" s="93"/>
      <c r="B99" s="106"/>
      <c r="C99" s="44" t="s">
        <v>526</v>
      </c>
      <c r="D99" s="44" t="s">
        <v>524</v>
      </c>
      <c r="E99" s="34">
        <v>40884</v>
      </c>
      <c r="F99" s="44"/>
      <c r="G99" s="44"/>
      <c r="H99" s="44"/>
      <c r="I99" s="90"/>
      <c r="J99" s="90"/>
      <c r="K99" s="106"/>
      <c r="L99" s="44"/>
      <c r="M99" s="1"/>
      <c r="N99" s="1"/>
      <c r="O99" s="1"/>
      <c r="P99" s="1"/>
      <c r="Q99" s="1"/>
      <c r="R99" s="1"/>
      <c r="S99" s="1"/>
    </row>
    <row r="100" spans="1:19" ht="238.5" customHeight="1" x14ac:dyDescent="0.2">
      <c r="A100" s="103" t="s">
        <v>187</v>
      </c>
      <c r="B100" s="104" t="s">
        <v>188</v>
      </c>
      <c r="C100" s="27" t="s">
        <v>30</v>
      </c>
      <c r="D100" s="27" t="s">
        <v>189</v>
      </c>
      <c r="E100" s="27" t="s">
        <v>32</v>
      </c>
      <c r="F100" s="27" t="s">
        <v>190</v>
      </c>
      <c r="G100" s="27" t="s">
        <v>191</v>
      </c>
      <c r="H100" s="27" t="s">
        <v>192</v>
      </c>
      <c r="I100" s="27" t="s">
        <v>500</v>
      </c>
      <c r="J100" s="27" t="s">
        <v>34</v>
      </c>
      <c r="K100" s="34">
        <v>43949</v>
      </c>
      <c r="L100" s="27" t="s">
        <v>193</v>
      </c>
      <c r="M100" s="1">
        <f>1243.09112+462.79776</f>
        <v>1705.88888</v>
      </c>
      <c r="N100" s="1">
        <f>1243.09112+462.79776</f>
        <v>1705.88888</v>
      </c>
      <c r="O100" s="1">
        <v>0</v>
      </c>
      <c r="P100" s="1">
        <v>0</v>
      </c>
      <c r="Q100" s="1">
        <v>0</v>
      </c>
      <c r="R100" s="1">
        <v>0</v>
      </c>
      <c r="S100" s="1" t="s">
        <v>0</v>
      </c>
    </row>
    <row r="101" spans="1:19" ht="87.75" customHeight="1" x14ac:dyDescent="0.2">
      <c r="A101" s="103" t="s">
        <v>0</v>
      </c>
      <c r="B101" s="104" t="s">
        <v>0</v>
      </c>
      <c r="C101" s="27" t="s">
        <v>194</v>
      </c>
      <c r="D101" s="27" t="s">
        <v>195</v>
      </c>
      <c r="E101" s="27" t="s">
        <v>196</v>
      </c>
      <c r="F101" s="27" t="s">
        <v>0</v>
      </c>
      <c r="G101" s="27" t="s">
        <v>0</v>
      </c>
      <c r="H101" s="27" t="s">
        <v>0</v>
      </c>
      <c r="I101" s="27" t="s">
        <v>0</v>
      </c>
      <c r="J101" s="27" t="s">
        <v>0</v>
      </c>
      <c r="K101" s="27" t="s">
        <v>0</v>
      </c>
      <c r="L101" s="27" t="s">
        <v>0</v>
      </c>
      <c r="M101" s="1" t="s">
        <v>0</v>
      </c>
      <c r="N101" s="1" t="s">
        <v>0</v>
      </c>
      <c r="O101" s="1" t="s">
        <v>0</v>
      </c>
      <c r="P101" s="1" t="s">
        <v>0</v>
      </c>
      <c r="Q101" s="1" t="s">
        <v>0</v>
      </c>
      <c r="R101" s="1"/>
      <c r="S101" s="1" t="s">
        <v>0</v>
      </c>
    </row>
    <row r="102" spans="1:19" ht="162" customHeight="1" x14ac:dyDescent="0.2">
      <c r="A102" s="103" t="s">
        <v>197</v>
      </c>
      <c r="B102" s="104" t="s">
        <v>198</v>
      </c>
      <c r="C102" s="27" t="s">
        <v>30</v>
      </c>
      <c r="D102" s="27" t="s">
        <v>199</v>
      </c>
      <c r="E102" s="27" t="s">
        <v>32</v>
      </c>
      <c r="F102" s="27" t="s">
        <v>0</v>
      </c>
      <c r="G102" s="27" t="s">
        <v>0</v>
      </c>
      <c r="H102" s="27" t="s">
        <v>0</v>
      </c>
      <c r="I102" s="27" t="s">
        <v>418</v>
      </c>
      <c r="J102" s="27" t="s">
        <v>34</v>
      </c>
      <c r="K102" s="34">
        <v>41318</v>
      </c>
      <c r="L102" s="27" t="s">
        <v>200</v>
      </c>
      <c r="M102" s="1">
        <f>1200</f>
        <v>1200</v>
      </c>
      <c r="N102" s="1">
        <f>1200</f>
        <v>1200</v>
      </c>
      <c r="O102" s="1">
        <v>1200</v>
      </c>
      <c r="P102" s="1">
        <f>1200</f>
        <v>1200</v>
      </c>
      <c r="Q102" s="1">
        <f>1200</f>
        <v>1200</v>
      </c>
      <c r="R102" s="1">
        <f>1200</f>
        <v>1200</v>
      </c>
      <c r="S102" s="1" t="s">
        <v>0</v>
      </c>
    </row>
    <row r="103" spans="1:19" ht="110.25" customHeight="1" x14ac:dyDescent="0.2">
      <c r="A103" s="103" t="s">
        <v>0</v>
      </c>
      <c r="B103" s="104" t="s">
        <v>0</v>
      </c>
      <c r="C103" s="27" t="s">
        <v>201</v>
      </c>
      <c r="D103" s="27" t="s">
        <v>202</v>
      </c>
      <c r="E103" s="27" t="s">
        <v>203</v>
      </c>
      <c r="F103" s="27" t="s">
        <v>0</v>
      </c>
      <c r="G103" s="27" t="s">
        <v>0</v>
      </c>
      <c r="H103" s="27" t="s">
        <v>0</v>
      </c>
      <c r="I103" s="27" t="s">
        <v>490</v>
      </c>
      <c r="J103" s="27" t="s">
        <v>34</v>
      </c>
      <c r="K103" s="34">
        <v>42775</v>
      </c>
      <c r="L103" s="27" t="s">
        <v>0</v>
      </c>
      <c r="M103" s="1" t="s">
        <v>0</v>
      </c>
      <c r="N103" s="1" t="s">
        <v>0</v>
      </c>
      <c r="O103" s="1" t="s">
        <v>0</v>
      </c>
      <c r="P103" s="1" t="s">
        <v>0</v>
      </c>
      <c r="Q103" s="1" t="s">
        <v>0</v>
      </c>
      <c r="R103" s="1"/>
      <c r="S103" s="1" t="s">
        <v>0</v>
      </c>
    </row>
    <row r="104" spans="1:19" ht="186.75" customHeight="1" x14ac:dyDescent="0.2">
      <c r="A104" s="103" t="s">
        <v>204</v>
      </c>
      <c r="B104" s="104" t="s">
        <v>205</v>
      </c>
      <c r="C104" s="27" t="s">
        <v>172</v>
      </c>
      <c r="D104" s="27" t="s">
        <v>206</v>
      </c>
      <c r="E104" s="27" t="s">
        <v>174</v>
      </c>
      <c r="F104" s="27" t="s">
        <v>207</v>
      </c>
      <c r="G104" s="27" t="s">
        <v>34</v>
      </c>
      <c r="H104" s="27" t="s">
        <v>208</v>
      </c>
      <c r="I104" s="27" t="s">
        <v>472</v>
      </c>
      <c r="J104" s="27" t="s">
        <v>34</v>
      </c>
      <c r="K104" s="34">
        <v>41996</v>
      </c>
      <c r="L104" s="27" t="s">
        <v>209</v>
      </c>
      <c r="M104" s="1">
        <f>8</f>
        <v>8</v>
      </c>
      <c r="N104" s="1">
        <f>8</f>
        <v>8</v>
      </c>
      <c r="O104" s="1">
        <v>15</v>
      </c>
      <c r="P104" s="1">
        <f>15</f>
        <v>15</v>
      </c>
      <c r="Q104" s="1">
        <f>15</f>
        <v>15</v>
      </c>
      <c r="R104" s="1">
        <f>15</f>
        <v>15</v>
      </c>
      <c r="S104" s="1" t="s">
        <v>0</v>
      </c>
    </row>
    <row r="105" spans="1:19" ht="89.25" customHeight="1" x14ac:dyDescent="0.2">
      <c r="A105" s="103" t="s">
        <v>0</v>
      </c>
      <c r="B105" s="104" t="s">
        <v>0</v>
      </c>
      <c r="C105" s="27" t="s">
        <v>30</v>
      </c>
      <c r="D105" s="27" t="s">
        <v>210</v>
      </c>
      <c r="E105" s="27" t="s">
        <v>32</v>
      </c>
      <c r="F105" s="27" t="s">
        <v>0</v>
      </c>
      <c r="G105" s="27" t="s">
        <v>0</v>
      </c>
      <c r="H105" s="27" t="s">
        <v>0</v>
      </c>
      <c r="I105" s="27" t="s">
        <v>0</v>
      </c>
      <c r="J105" s="27" t="s">
        <v>0</v>
      </c>
      <c r="K105" s="27" t="s">
        <v>0</v>
      </c>
      <c r="L105" s="27" t="s">
        <v>0</v>
      </c>
      <c r="M105" s="1" t="s">
        <v>0</v>
      </c>
      <c r="N105" s="1" t="s">
        <v>0</v>
      </c>
      <c r="O105" s="1"/>
      <c r="P105" s="1" t="s">
        <v>0</v>
      </c>
      <c r="Q105" s="1" t="s">
        <v>0</v>
      </c>
      <c r="R105" s="1"/>
      <c r="S105" s="1" t="s">
        <v>0</v>
      </c>
    </row>
    <row r="106" spans="1:19" ht="162.75" customHeight="1" x14ac:dyDescent="0.2">
      <c r="A106" s="103" t="s">
        <v>211</v>
      </c>
      <c r="B106" s="104" t="s">
        <v>212</v>
      </c>
      <c r="C106" s="27" t="s">
        <v>213</v>
      </c>
      <c r="D106" s="27" t="s">
        <v>214</v>
      </c>
      <c r="E106" s="27" t="s">
        <v>215</v>
      </c>
      <c r="F106" s="27" t="s">
        <v>0</v>
      </c>
      <c r="G106" s="27" t="s">
        <v>0</v>
      </c>
      <c r="H106" s="27" t="s">
        <v>0</v>
      </c>
      <c r="I106" s="27" t="s">
        <v>473</v>
      </c>
      <c r="J106" s="27" t="s">
        <v>34</v>
      </c>
      <c r="K106" s="34">
        <v>42247</v>
      </c>
      <c r="L106" s="38" t="s">
        <v>511</v>
      </c>
      <c r="M106" s="1">
        <f>17.736+4.31</f>
        <v>22.045999999999999</v>
      </c>
      <c r="N106" s="1">
        <f>17.736+4.31</f>
        <v>22.045999999999999</v>
      </c>
      <c r="O106" s="1">
        <f>87+71+19+14</f>
        <v>191</v>
      </c>
      <c r="P106" s="1">
        <f>4+60+28</f>
        <v>92</v>
      </c>
      <c r="Q106" s="1">
        <f>150</f>
        <v>150</v>
      </c>
      <c r="R106" s="1">
        <f>150</f>
        <v>150</v>
      </c>
      <c r="S106" s="1"/>
    </row>
    <row r="107" spans="1:19" ht="89.25" customHeight="1" x14ac:dyDescent="0.2">
      <c r="A107" s="103" t="s">
        <v>0</v>
      </c>
      <c r="B107" s="104" t="s">
        <v>0</v>
      </c>
      <c r="C107" s="27" t="s">
        <v>30</v>
      </c>
      <c r="D107" s="27" t="s">
        <v>216</v>
      </c>
      <c r="E107" s="27" t="s">
        <v>32</v>
      </c>
      <c r="F107" s="27" t="s">
        <v>0</v>
      </c>
      <c r="G107" s="27" t="s">
        <v>0</v>
      </c>
      <c r="H107" s="27" t="s">
        <v>0</v>
      </c>
      <c r="I107" s="27" t="s">
        <v>0</v>
      </c>
      <c r="J107" s="27" t="s">
        <v>0</v>
      </c>
      <c r="K107" s="27" t="s">
        <v>0</v>
      </c>
      <c r="L107" s="27" t="s">
        <v>0</v>
      </c>
      <c r="M107" s="1" t="s">
        <v>0</v>
      </c>
      <c r="N107" s="1" t="s">
        <v>0</v>
      </c>
      <c r="O107" s="1" t="s">
        <v>0</v>
      </c>
      <c r="P107" s="1" t="s">
        <v>0</v>
      </c>
      <c r="Q107" s="1" t="s">
        <v>0</v>
      </c>
      <c r="R107" s="1"/>
      <c r="S107" s="1" t="s">
        <v>0</v>
      </c>
    </row>
    <row r="108" spans="1:19" ht="210" customHeight="1" x14ac:dyDescent="0.2">
      <c r="A108" s="103" t="s">
        <v>217</v>
      </c>
      <c r="B108" s="104" t="s">
        <v>218</v>
      </c>
      <c r="C108" s="27" t="s">
        <v>172</v>
      </c>
      <c r="D108" s="27" t="s">
        <v>173</v>
      </c>
      <c r="E108" s="27" t="s">
        <v>174</v>
      </c>
      <c r="F108" s="27" t="s">
        <v>219</v>
      </c>
      <c r="G108" s="27" t="s">
        <v>220</v>
      </c>
      <c r="H108" s="27" t="s">
        <v>125</v>
      </c>
      <c r="I108" s="27" t="s">
        <v>416</v>
      </c>
      <c r="J108" s="27" t="s">
        <v>34</v>
      </c>
      <c r="K108" s="34">
        <v>42055</v>
      </c>
      <c r="L108" s="27" t="s">
        <v>221</v>
      </c>
      <c r="M108" s="1">
        <f>1459.51087</f>
        <v>1459.5108700000001</v>
      </c>
      <c r="N108" s="1">
        <f>1459.51087</f>
        <v>1459.5108700000001</v>
      </c>
      <c r="O108" s="1">
        <f>1602.7</f>
        <v>1602.7</v>
      </c>
      <c r="P108" s="1">
        <f>1661.3</f>
        <v>1661.3</v>
      </c>
      <c r="Q108" s="1">
        <f>1683.6</f>
        <v>1683.6</v>
      </c>
      <c r="R108" s="1">
        <v>1705.5</v>
      </c>
      <c r="S108" s="1" t="s">
        <v>0</v>
      </c>
    </row>
    <row r="109" spans="1:19" ht="163.5" customHeight="1" x14ac:dyDescent="0.2">
      <c r="A109" s="103" t="s">
        <v>0</v>
      </c>
      <c r="B109" s="104" t="s">
        <v>0</v>
      </c>
      <c r="C109" s="27" t="s">
        <v>30</v>
      </c>
      <c r="D109" s="27" t="s">
        <v>178</v>
      </c>
      <c r="E109" s="27" t="s">
        <v>32</v>
      </c>
      <c r="F109" s="27" t="s">
        <v>0</v>
      </c>
      <c r="G109" s="27" t="s">
        <v>0</v>
      </c>
      <c r="H109" s="27" t="s">
        <v>0</v>
      </c>
      <c r="I109" s="27" t="s">
        <v>501</v>
      </c>
      <c r="J109" s="27" t="s">
        <v>34</v>
      </c>
      <c r="K109" s="34">
        <v>42284</v>
      </c>
      <c r="L109" s="27" t="s">
        <v>0</v>
      </c>
      <c r="M109" s="1" t="s">
        <v>0</v>
      </c>
      <c r="N109" s="1" t="s">
        <v>0</v>
      </c>
      <c r="O109" s="1" t="s">
        <v>0</v>
      </c>
      <c r="P109" s="1" t="s">
        <v>0</v>
      </c>
      <c r="Q109" s="1" t="s">
        <v>0</v>
      </c>
      <c r="R109" s="1"/>
      <c r="S109" s="1" t="s">
        <v>0</v>
      </c>
    </row>
    <row r="110" spans="1:19" ht="80.25" customHeight="1" x14ac:dyDescent="0.2">
      <c r="A110" s="26" t="s">
        <v>222</v>
      </c>
      <c r="B110" s="27" t="s">
        <v>223</v>
      </c>
      <c r="C110" s="27" t="s">
        <v>0</v>
      </c>
      <c r="D110" s="27" t="s">
        <v>0</v>
      </c>
      <c r="E110" s="27" t="s">
        <v>0</v>
      </c>
      <c r="F110" s="27" t="s">
        <v>0</v>
      </c>
      <c r="G110" s="27" t="s">
        <v>0</v>
      </c>
      <c r="H110" s="27" t="s">
        <v>0</v>
      </c>
      <c r="I110" s="27" t="s">
        <v>0</v>
      </c>
      <c r="J110" s="27" t="s">
        <v>0</v>
      </c>
      <c r="K110" s="27" t="s">
        <v>0</v>
      </c>
      <c r="L110" s="27" t="s">
        <v>539</v>
      </c>
      <c r="M110" s="1">
        <f t="shared" ref="M110:R110" si="5">M111+M114+M118</f>
        <v>5148.3863300000003</v>
      </c>
      <c r="N110" s="1">
        <f t="shared" si="5"/>
        <v>5129.0671400000001</v>
      </c>
      <c r="O110" s="1">
        <f t="shared" si="5"/>
        <v>12428.277699999999</v>
      </c>
      <c r="P110" s="1">
        <f t="shared" si="5"/>
        <v>13473.918299999999</v>
      </c>
      <c r="Q110" s="1">
        <f t="shared" si="5"/>
        <v>13292.121799999999</v>
      </c>
      <c r="R110" s="1">
        <f t="shared" si="5"/>
        <v>13132.8</v>
      </c>
      <c r="S110" s="1" t="s">
        <v>0</v>
      </c>
    </row>
    <row r="111" spans="1:19" ht="39.75" customHeight="1" x14ac:dyDescent="0.2">
      <c r="A111" s="26" t="s">
        <v>224</v>
      </c>
      <c r="B111" s="27" t="s">
        <v>225</v>
      </c>
      <c r="C111" s="27" t="s">
        <v>0</v>
      </c>
      <c r="D111" s="27" t="s">
        <v>0</v>
      </c>
      <c r="E111" s="27" t="s">
        <v>0</v>
      </c>
      <c r="F111" s="27" t="s">
        <v>0</v>
      </c>
      <c r="G111" s="27" t="s">
        <v>0</v>
      </c>
      <c r="H111" s="27" t="s">
        <v>0</v>
      </c>
      <c r="I111" s="27" t="s">
        <v>0</v>
      </c>
      <c r="J111" s="27" t="s">
        <v>0</v>
      </c>
      <c r="K111" s="27" t="s">
        <v>0</v>
      </c>
      <c r="L111" s="52" t="s">
        <v>538</v>
      </c>
      <c r="M111" s="1">
        <f>M112</f>
        <v>70.74333</v>
      </c>
      <c r="N111" s="1">
        <f t="shared" ref="N111:R111" si="6">N112</f>
        <v>70.74333</v>
      </c>
      <c r="O111" s="1">
        <f t="shared" si="6"/>
        <v>50</v>
      </c>
      <c r="P111" s="1">
        <f t="shared" si="6"/>
        <v>50</v>
      </c>
      <c r="Q111" s="1">
        <f t="shared" si="6"/>
        <v>50</v>
      </c>
      <c r="R111" s="1">
        <f t="shared" si="6"/>
        <v>50</v>
      </c>
      <c r="S111" s="1" t="s">
        <v>0</v>
      </c>
    </row>
    <row r="112" spans="1:19" ht="204" customHeight="1" x14ac:dyDescent="0.2">
      <c r="A112" s="103" t="s">
        <v>226</v>
      </c>
      <c r="B112" s="104" t="s">
        <v>227</v>
      </c>
      <c r="C112" s="27" t="s">
        <v>30</v>
      </c>
      <c r="D112" s="27" t="s">
        <v>228</v>
      </c>
      <c r="E112" s="27" t="s">
        <v>32</v>
      </c>
      <c r="F112" s="27" t="s">
        <v>0</v>
      </c>
      <c r="G112" s="27" t="s">
        <v>0</v>
      </c>
      <c r="H112" s="27" t="s">
        <v>0</v>
      </c>
      <c r="I112" s="27" t="s">
        <v>475</v>
      </c>
      <c r="J112" s="27" t="s">
        <v>34</v>
      </c>
      <c r="K112" s="34">
        <v>43907</v>
      </c>
      <c r="L112" s="27" t="s">
        <v>538</v>
      </c>
      <c r="M112" s="1">
        <f>70.74333</f>
        <v>70.74333</v>
      </c>
      <c r="N112" s="1">
        <f>70.74333</f>
        <v>70.74333</v>
      </c>
      <c r="O112" s="1">
        <f>50</f>
        <v>50</v>
      </c>
      <c r="P112" s="1">
        <f>50</f>
        <v>50</v>
      </c>
      <c r="Q112" s="1">
        <f>50</f>
        <v>50</v>
      </c>
      <c r="R112" s="1">
        <f>50</f>
        <v>50</v>
      </c>
      <c r="S112" s="1"/>
    </row>
    <row r="113" spans="1:21" ht="80.25" customHeight="1" x14ac:dyDescent="0.2">
      <c r="A113" s="103" t="s">
        <v>0</v>
      </c>
      <c r="B113" s="104" t="s">
        <v>0</v>
      </c>
      <c r="C113" s="27" t="s">
        <v>229</v>
      </c>
      <c r="D113" s="27" t="s">
        <v>230</v>
      </c>
      <c r="E113" s="27" t="s">
        <v>231</v>
      </c>
      <c r="F113" s="27" t="s">
        <v>0</v>
      </c>
      <c r="G113" s="27" t="s">
        <v>0</v>
      </c>
      <c r="H113" s="27" t="s">
        <v>0</v>
      </c>
      <c r="I113" s="27" t="s">
        <v>0</v>
      </c>
      <c r="J113" s="27" t="s">
        <v>0</v>
      </c>
      <c r="K113" s="27" t="s">
        <v>0</v>
      </c>
      <c r="L113" s="27" t="s">
        <v>0</v>
      </c>
      <c r="M113" s="1" t="s">
        <v>0</v>
      </c>
      <c r="N113" s="1" t="s">
        <v>0</v>
      </c>
      <c r="O113" s="1" t="s">
        <v>0</v>
      </c>
      <c r="P113" s="1" t="s">
        <v>0</v>
      </c>
      <c r="Q113" s="1" t="s">
        <v>0</v>
      </c>
      <c r="R113" s="1"/>
      <c r="S113" s="1" t="s">
        <v>0</v>
      </c>
    </row>
    <row r="114" spans="1:21" ht="60" x14ac:dyDescent="0.2">
      <c r="A114" s="26" t="s">
        <v>232</v>
      </c>
      <c r="B114" s="27" t="s">
        <v>233</v>
      </c>
      <c r="C114" s="27" t="s">
        <v>0</v>
      </c>
      <c r="D114" s="27" t="s">
        <v>0</v>
      </c>
      <c r="E114" s="27" t="s">
        <v>0</v>
      </c>
      <c r="F114" s="27" t="s">
        <v>0</v>
      </c>
      <c r="G114" s="27" t="s">
        <v>0</v>
      </c>
      <c r="H114" s="27" t="s">
        <v>0</v>
      </c>
      <c r="I114" s="27" t="s">
        <v>0</v>
      </c>
      <c r="J114" s="27" t="s">
        <v>0</v>
      </c>
      <c r="K114" s="27" t="s">
        <v>0</v>
      </c>
      <c r="L114" s="27" t="s">
        <v>147</v>
      </c>
      <c r="M114" s="1">
        <f>M115+M116+M117</f>
        <v>4705.8630000000003</v>
      </c>
      <c r="N114" s="1">
        <f t="shared" ref="N114:P114" si="7">N115+N116+N117</f>
        <v>4686.5438100000001</v>
      </c>
      <c r="O114" s="1">
        <f t="shared" si="7"/>
        <v>11280.777699999999</v>
      </c>
      <c r="P114" s="1">
        <f t="shared" si="7"/>
        <v>11821.918299999999</v>
      </c>
      <c r="Q114" s="1">
        <f t="shared" ref="Q114:R114" si="8">Q115+Q116+Q117</f>
        <v>11525.121799999999</v>
      </c>
      <c r="R114" s="1">
        <f t="shared" si="8"/>
        <v>11280.8</v>
      </c>
      <c r="S114" s="1" t="s">
        <v>0</v>
      </c>
    </row>
    <row r="115" spans="1:21" ht="90" customHeight="1" x14ac:dyDescent="0.2">
      <c r="A115" s="26" t="s">
        <v>234</v>
      </c>
      <c r="B115" s="27" t="s">
        <v>235</v>
      </c>
      <c r="C115" s="27" t="s">
        <v>30</v>
      </c>
      <c r="D115" s="27" t="s">
        <v>236</v>
      </c>
      <c r="E115" s="27" t="s">
        <v>32</v>
      </c>
      <c r="F115" s="27" t="s">
        <v>0</v>
      </c>
      <c r="G115" s="27" t="s">
        <v>0</v>
      </c>
      <c r="H115" s="27" t="s">
        <v>0</v>
      </c>
      <c r="I115" s="27" t="s">
        <v>0</v>
      </c>
      <c r="J115" s="27" t="s">
        <v>0</v>
      </c>
      <c r="K115" s="27" t="s">
        <v>0</v>
      </c>
      <c r="L115" s="27" t="s">
        <v>147</v>
      </c>
      <c r="M115" s="1">
        <v>0</v>
      </c>
      <c r="N115" s="1">
        <v>0</v>
      </c>
      <c r="O115" s="1">
        <v>0</v>
      </c>
      <c r="P115" s="1">
        <v>0</v>
      </c>
      <c r="Q115" s="1">
        <v>0</v>
      </c>
      <c r="R115" s="1">
        <v>0</v>
      </c>
      <c r="S115" s="1" t="s">
        <v>0</v>
      </c>
    </row>
    <row r="116" spans="1:21" ht="287.25" customHeight="1" x14ac:dyDescent="0.2">
      <c r="A116" s="26" t="s">
        <v>237</v>
      </c>
      <c r="B116" s="27" t="s">
        <v>238</v>
      </c>
      <c r="C116" s="27" t="s">
        <v>30</v>
      </c>
      <c r="D116" s="27" t="s">
        <v>236</v>
      </c>
      <c r="E116" s="27" t="s">
        <v>32</v>
      </c>
      <c r="F116" s="27" t="s">
        <v>0</v>
      </c>
      <c r="G116" s="27" t="s">
        <v>0</v>
      </c>
      <c r="H116" s="27" t="s">
        <v>0</v>
      </c>
      <c r="I116" s="27" t="s">
        <v>536</v>
      </c>
      <c r="J116" s="27" t="s">
        <v>34</v>
      </c>
      <c r="K116" s="34">
        <v>43726</v>
      </c>
      <c r="L116" s="27" t="s">
        <v>308</v>
      </c>
      <c r="M116" s="1">
        <f>628.6+4067.263</f>
        <v>4695.8630000000003</v>
      </c>
      <c r="N116" s="1">
        <f>619.28081+4067.263</f>
        <v>4686.5438100000001</v>
      </c>
      <c r="O116" s="1">
        <f>10287.9777+982.8</f>
        <v>11270.777699999999</v>
      </c>
      <c r="P116" s="1">
        <f>982.8+10829.1183</f>
        <v>11811.918299999999</v>
      </c>
      <c r="Q116" s="1">
        <f>982.8+10532.3218</f>
        <v>11515.121799999999</v>
      </c>
      <c r="R116" s="1">
        <f>982.8+10288</f>
        <v>11270.8</v>
      </c>
      <c r="S116" s="1" t="s">
        <v>0</v>
      </c>
    </row>
    <row r="117" spans="1:21" ht="86.25" customHeight="1" x14ac:dyDescent="0.2">
      <c r="A117" s="18" t="s">
        <v>465</v>
      </c>
      <c r="B117" s="17" t="s">
        <v>466</v>
      </c>
      <c r="C117" s="17" t="s">
        <v>467</v>
      </c>
      <c r="D117" s="27" t="s">
        <v>236</v>
      </c>
      <c r="E117" s="27" t="s">
        <v>32</v>
      </c>
      <c r="F117" s="27"/>
      <c r="G117" s="27"/>
      <c r="H117" s="27"/>
      <c r="I117" s="27"/>
      <c r="J117" s="27"/>
      <c r="K117" s="27"/>
      <c r="L117" s="17" t="s">
        <v>36</v>
      </c>
      <c r="M117" s="1">
        <v>10</v>
      </c>
      <c r="N117" s="1">
        <v>0</v>
      </c>
      <c r="O117" s="1">
        <v>10</v>
      </c>
      <c r="P117" s="1">
        <f>10</f>
        <v>10</v>
      </c>
      <c r="Q117" s="1">
        <f>10</f>
        <v>10</v>
      </c>
      <c r="R117" s="1">
        <f>10</f>
        <v>10</v>
      </c>
      <c r="S117" s="1"/>
    </row>
    <row r="118" spans="1:21" ht="60" x14ac:dyDescent="0.2">
      <c r="A118" s="26" t="s">
        <v>239</v>
      </c>
      <c r="B118" s="27" t="s">
        <v>240</v>
      </c>
      <c r="C118" s="27" t="s">
        <v>0</v>
      </c>
      <c r="D118" s="27" t="s">
        <v>0</v>
      </c>
      <c r="E118" s="27" t="s">
        <v>0</v>
      </c>
      <c r="F118" s="27" t="s">
        <v>0</v>
      </c>
      <c r="G118" s="27" t="s">
        <v>0</v>
      </c>
      <c r="H118" s="27" t="s">
        <v>0</v>
      </c>
      <c r="I118" s="27" t="s">
        <v>0</v>
      </c>
      <c r="J118" s="27" t="s">
        <v>0</v>
      </c>
      <c r="K118" s="27" t="s">
        <v>0</v>
      </c>
      <c r="L118" s="27" t="s">
        <v>241</v>
      </c>
      <c r="M118" s="1">
        <f>M119+M120</f>
        <v>371.78</v>
      </c>
      <c r="N118" s="1">
        <f t="shared" ref="N118:P118" si="9">N119+N120</f>
        <v>371.78</v>
      </c>
      <c r="O118" s="1">
        <f t="shared" si="9"/>
        <v>1097.5</v>
      </c>
      <c r="P118" s="1">
        <f t="shared" si="9"/>
        <v>1602</v>
      </c>
      <c r="Q118" s="1">
        <f t="shared" ref="Q118:R118" si="10">Q119+Q120</f>
        <v>1717</v>
      </c>
      <c r="R118" s="1">
        <f t="shared" si="10"/>
        <v>1802</v>
      </c>
      <c r="S118" s="1" t="s">
        <v>0</v>
      </c>
    </row>
    <row r="119" spans="1:21" ht="150.75" customHeight="1" x14ac:dyDescent="0.2">
      <c r="A119" s="26" t="s">
        <v>242</v>
      </c>
      <c r="B119" s="27" t="s">
        <v>243</v>
      </c>
      <c r="C119" s="27" t="s">
        <v>30</v>
      </c>
      <c r="D119" s="27" t="s">
        <v>244</v>
      </c>
      <c r="E119" s="27" t="s">
        <v>32</v>
      </c>
      <c r="F119" s="27" t="s">
        <v>0</v>
      </c>
      <c r="G119" s="27" t="s">
        <v>0</v>
      </c>
      <c r="H119" s="27" t="s">
        <v>0</v>
      </c>
      <c r="I119" s="27" t="s">
        <v>470</v>
      </c>
      <c r="J119" s="27" t="s">
        <v>0</v>
      </c>
      <c r="K119" s="27" t="s">
        <v>0</v>
      </c>
      <c r="L119" s="27" t="s">
        <v>245</v>
      </c>
      <c r="M119" s="1">
        <f>45.797+210.348+43.635+72</f>
        <v>371.78</v>
      </c>
      <c r="N119" s="1">
        <f>45.797+210.348+43.635+72</f>
        <v>371.78</v>
      </c>
      <c r="O119" s="1">
        <f>502</f>
        <v>502</v>
      </c>
      <c r="P119" s="1">
        <f>602</f>
        <v>602</v>
      </c>
      <c r="Q119" s="1">
        <v>717</v>
      </c>
      <c r="R119" s="1">
        <f>802</f>
        <v>802</v>
      </c>
      <c r="S119" s="1" t="s">
        <v>0</v>
      </c>
    </row>
    <row r="120" spans="1:21" ht="89.25" customHeight="1" x14ac:dyDescent="0.2">
      <c r="A120" s="26" t="s">
        <v>246</v>
      </c>
      <c r="B120" s="27" t="s">
        <v>247</v>
      </c>
      <c r="C120" s="27" t="s">
        <v>30</v>
      </c>
      <c r="D120" s="27" t="s">
        <v>244</v>
      </c>
      <c r="E120" s="27" t="s">
        <v>32</v>
      </c>
      <c r="F120" s="27" t="s">
        <v>0</v>
      </c>
      <c r="G120" s="27" t="s">
        <v>0</v>
      </c>
      <c r="H120" s="27" t="s">
        <v>0</v>
      </c>
      <c r="I120" s="27" t="s">
        <v>0</v>
      </c>
      <c r="J120" s="27" t="s">
        <v>0</v>
      </c>
      <c r="K120" s="27" t="s">
        <v>0</v>
      </c>
      <c r="L120" s="27" t="s">
        <v>248</v>
      </c>
      <c r="M120" s="1">
        <v>0</v>
      </c>
      <c r="N120" s="1">
        <v>0</v>
      </c>
      <c r="O120" s="1">
        <v>595.5</v>
      </c>
      <c r="P120" s="1">
        <v>1000</v>
      </c>
      <c r="Q120" s="1">
        <v>1000</v>
      </c>
      <c r="R120" s="1">
        <v>1000</v>
      </c>
      <c r="S120" s="1" t="s">
        <v>0</v>
      </c>
    </row>
    <row r="121" spans="1:21" ht="101.25" customHeight="1" x14ac:dyDescent="0.2">
      <c r="A121" s="26" t="s">
        <v>249</v>
      </c>
      <c r="B121" s="27" t="s">
        <v>250</v>
      </c>
      <c r="C121" s="27" t="s">
        <v>0</v>
      </c>
      <c r="D121" s="27" t="s">
        <v>0</v>
      </c>
      <c r="E121" s="27" t="s">
        <v>0</v>
      </c>
      <c r="F121" s="27" t="s">
        <v>0</v>
      </c>
      <c r="G121" s="27" t="s">
        <v>0</v>
      </c>
      <c r="H121" s="27" t="s">
        <v>0</v>
      </c>
      <c r="I121" s="27" t="s">
        <v>0</v>
      </c>
      <c r="J121" s="27" t="s">
        <v>0</v>
      </c>
      <c r="K121" s="27" t="s">
        <v>0</v>
      </c>
      <c r="L121" s="27" t="s">
        <v>251</v>
      </c>
      <c r="M121" s="1">
        <f>M122+M127</f>
        <v>26667.566999999999</v>
      </c>
      <c r="N121" s="1">
        <f t="shared" ref="N121:R121" si="11">N122+N127</f>
        <v>19667.53916</v>
      </c>
      <c r="O121" s="1">
        <f t="shared" si="11"/>
        <v>29316.693000000007</v>
      </c>
      <c r="P121" s="1">
        <f t="shared" si="11"/>
        <v>29127.700000000004</v>
      </c>
      <c r="Q121" s="1">
        <f t="shared" si="11"/>
        <v>28980.000000000007</v>
      </c>
      <c r="R121" s="1">
        <f t="shared" si="11"/>
        <v>31636.200000000004</v>
      </c>
      <c r="S121" s="1" t="s">
        <v>0</v>
      </c>
      <c r="T121" s="45"/>
      <c r="U121" s="50"/>
    </row>
    <row r="122" spans="1:21" ht="24" x14ac:dyDescent="0.2">
      <c r="A122" s="26" t="s">
        <v>252</v>
      </c>
      <c r="B122" s="27" t="s">
        <v>253</v>
      </c>
      <c r="C122" s="27" t="s">
        <v>0</v>
      </c>
      <c r="D122" s="27" t="s">
        <v>0</v>
      </c>
      <c r="E122" s="27" t="s">
        <v>0</v>
      </c>
      <c r="F122" s="27" t="s">
        <v>0</v>
      </c>
      <c r="G122" s="27" t="s">
        <v>0</v>
      </c>
      <c r="H122" s="27" t="s">
        <v>0</v>
      </c>
      <c r="I122" s="27" t="s">
        <v>0</v>
      </c>
      <c r="J122" s="27" t="s">
        <v>0</v>
      </c>
      <c r="K122" s="27" t="s">
        <v>0</v>
      </c>
      <c r="L122" s="27" t="s">
        <v>254</v>
      </c>
      <c r="M122" s="1">
        <f>M123+M125+M126</f>
        <v>3113.2</v>
      </c>
      <c r="N122" s="1">
        <f t="shared" ref="N122:R122" si="12">N123+N125+N126</f>
        <v>3113.2</v>
      </c>
      <c r="O122" s="1">
        <f t="shared" si="12"/>
        <v>2519.1999999999998</v>
      </c>
      <c r="P122" s="1">
        <f t="shared" si="12"/>
        <v>2143.4</v>
      </c>
      <c r="Q122" s="1">
        <f t="shared" si="12"/>
        <v>1955.2</v>
      </c>
      <c r="R122" s="1">
        <f t="shared" si="12"/>
        <v>2230.4</v>
      </c>
      <c r="S122" s="1" t="s">
        <v>0</v>
      </c>
    </row>
    <row r="123" spans="1:21" ht="224.25" customHeight="1" x14ac:dyDescent="0.2">
      <c r="A123" s="103" t="s">
        <v>255</v>
      </c>
      <c r="B123" s="104" t="s">
        <v>256</v>
      </c>
      <c r="C123" s="27" t="s">
        <v>257</v>
      </c>
      <c r="D123" s="27" t="s">
        <v>258</v>
      </c>
      <c r="E123" s="27" t="s">
        <v>259</v>
      </c>
      <c r="F123" s="27" t="s">
        <v>261</v>
      </c>
      <c r="G123" s="27" t="s">
        <v>262</v>
      </c>
      <c r="H123" s="27" t="s">
        <v>263</v>
      </c>
      <c r="I123" s="27" t="s">
        <v>0</v>
      </c>
      <c r="J123" s="27" t="s">
        <v>0</v>
      </c>
      <c r="K123" s="27" t="s">
        <v>0</v>
      </c>
      <c r="L123" s="27" t="s">
        <v>264</v>
      </c>
      <c r="M123" s="1">
        <f>3113.2</f>
        <v>3113.2</v>
      </c>
      <c r="N123" s="1">
        <f>3113.2</f>
        <v>3113.2</v>
      </c>
      <c r="O123" s="1">
        <f>2042.2</f>
        <v>2042.2</v>
      </c>
      <c r="P123" s="1">
        <f>1641.4+373.2+87.8</f>
        <v>2102.4</v>
      </c>
      <c r="Q123" s="1">
        <f>1641.4+226+87.8</f>
        <v>1955.2</v>
      </c>
      <c r="R123" s="1">
        <f>2230.4</f>
        <v>2230.4</v>
      </c>
      <c r="S123" s="1" t="s">
        <v>0</v>
      </c>
      <c r="T123" s="45"/>
      <c r="U123" s="45"/>
    </row>
    <row r="124" spans="1:21" ht="168" x14ac:dyDescent="0.2">
      <c r="A124" s="103" t="s">
        <v>0</v>
      </c>
      <c r="B124" s="104" t="s">
        <v>0</v>
      </c>
      <c r="C124" s="27" t="s">
        <v>265</v>
      </c>
      <c r="D124" s="27" t="s">
        <v>34</v>
      </c>
      <c r="E124" s="27" t="s">
        <v>266</v>
      </c>
      <c r="F124" s="27" t="s">
        <v>0</v>
      </c>
      <c r="G124" s="27" t="s">
        <v>0</v>
      </c>
      <c r="H124" s="27" t="s">
        <v>0</v>
      </c>
      <c r="I124" s="27" t="s">
        <v>0</v>
      </c>
      <c r="J124" s="27" t="s">
        <v>0</v>
      </c>
      <c r="K124" s="27" t="s">
        <v>0</v>
      </c>
      <c r="L124" s="27"/>
      <c r="M124" s="1"/>
      <c r="N124" s="1"/>
      <c r="O124" s="1"/>
      <c r="P124" s="1"/>
      <c r="Q124" s="1"/>
      <c r="R124" s="1"/>
      <c r="S124" s="1"/>
    </row>
    <row r="125" spans="1:21" ht="396" x14ac:dyDescent="0.2">
      <c r="A125" s="26" t="s">
        <v>267</v>
      </c>
      <c r="B125" s="27" t="s">
        <v>268</v>
      </c>
      <c r="C125" s="27" t="s">
        <v>269</v>
      </c>
      <c r="D125" s="27" t="s">
        <v>270</v>
      </c>
      <c r="E125" s="27" t="s">
        <v>271</v>
      </c>
      <c r="F125" s="27" t="s">
        <v>272</v>
      </c>
      <c r="G125" s="27" t="s">
        <v>34</v>
      </c>
      <c r="H125" s="27" t="s">
        <v>273</v>
      </c>
      <c r="I125" s="27" t="s">
        <v>0</v>
      </c>
      <c r="J125" s="27" t="s">
        <v>0</v>
      </c>
      <c r="K125" s="27" t="s">
        <v>0</v>
      </c>
      <c r="L125" s="27" t="s">
        <v>274</v>
      </c>
      <c r="M125" s="1">
        <v>0</v>
      </c>
      <c r="N125" s="1">
        <v>0</v>
      </c>
      <c r="O125" s="1">
        <v>0</v>
      </c>
      <c r="P125" s="1">
        <v>41</v>
      </c>
      <c r="Q125" s="1">
        <v>0</v>
      </c>
      <c r="R125" s="1">
        <v>0</v>
      </c>
      <c r="S125" s="1" t="s">
        <v>0</v>
      </c>
    </row>
    <row r="126" spans="1:21" ht="58.5" customHeight="1" x14ac:dyDescent="0.2">
      <c r="A126" s="48" t="s">
        <v>531</v>
      </c>
      <c r="B126" s="49" t="s">
        <v>532</v>
      </c>
      <c r="C126" s="49"/>
      <c r="D126" s="49"/>
      <c r="E126" s="49"/>
      <c r="F126" s="49"/>
      <c r="G126" s="49"/>
      <c r="H126" s="49"/>
      <c r="I126" s="49"/>
      <c r="J126" s="49"/>
      <c r="K126" s="49"/>
      <c r="L126" s="49" t="s">
        <v>36</v>
      </c>
      <c r="M126" s="1">
        <v>0</v>
      </c>
      <c r="N126" s="1">
        <v>0</v>
      </c>
      <c r="O126" s="1">
        <v>477</v>
      </c>
      <c r="P126" s="1">
        <v>0</v>
      </c>
      <c r="Q126" s="1">
        <v>0</v>
      </c>
      <c r="R126" s="1">
        <v>0</v>
      </c>
      <c r="S126" s="1"/>
    </row>
    <row r="127" spans="1:21" ht="24" x14ac:dyDescent="0.2">
      <c r="A127" s="26" t="s">
        <v>275</v>
      </c>
      <c r="B127" s="27" t="s">
        <v>276</v>
      </c>
      <c r="C127" s="27" t="s">
        <v>0</v>
      </c>
      <c r="D127" s="27" t="s">
        <v>0</v>
      </c>
      <c r="E127" s="27" t="s">
        <v>0</v>
      </c>
      <c r="F127" s="27" t="s">
        <v>0</v>
      </c>
      <c r="G127" s="27" t="s">
        <v>0</v>
      </c>
      <c r="H127" s="27" t="s">
        <v>0</v>
      </c>
      <c r="I127" s="27" t="s">
        <v>0</v>
      </c>
      <c r="J127" s="27" t="s">
        <v>0</v>
      </c>
      <c r="K127" s="27" t="s">
        <v>0</v>
      </c>
      <c r="L127" s="27" t="s">
        <v>277</v>
      </c>
      <c r="M127" s="1">
        <f>M128+M131+M135+M136+M139+M141+M143+M144+M145+M146+M142+M130</f>
        <v>23554.366999999998</v>
      </c>
      <c r="N127" s="1">
        <f t="shared" ref="N127:R127" si="13">N128+N131+N135+N136+N139+N141+N143+N144+N145+N146+N142+N130</f>
        <v>16554.33916</v>
      </c>
      <c r="O127" s="1">
        <f>O128+O131+O135+O136+O139+O141+O143+O144+O145+O146+O142+O130</f>
        <v>26797.493000000006</v>
      </c>
      <c r="P127" s="1">
        <f t="shared" si="13"/>
        <v>26984.300000000003</v>
      </c>
      <c r="Q127" s="1">
        <f t="shared" si="13"/>
        <v>27024.800000000007</v>
      </c>
      <c r="R127" s="1">
        <f t="shared" si="13"/>
        <v>29405.800000000003</v>
      </c>
      <c r="S127" s="1" t="s">
        <v>0</v>
      </c>
    </row>
    <row r="128" spans="1:21" ht="409.5" x14ac:dyDescent="0.2">
      <c r="A128" s="103" t="s">
        <v>278</v>
      </c>
      <c r="B128" s="104" t="s">
        <v>279</v>
      </c>
      <c r="C128" s="27" t="s">
        <v>0</v>
      </c>
      <c r="D128" s="27" t="s">
        <v>0</v>
      </c>
      <c r="E128" s="27" t="s">
        <v>0</v>
      </c>
      <c r="F128" s="27" t="s">
        <v>280</v>
      </c>
      <c r="G128" s="27" t="s">
        <v>281</v>
      </c>
      <c r="H128" s="27" t="s">
        <v>282</v>
      </c>
      <c r="I128" s="27" t="s">
        <v>283</v>
      </c>
      <c r="J128" s="27" t="s">
        <v>260</v>
      </c>
      <c r="K128" s="27" t="s">
        <v>284</v>
      </c>
      <c r="L128" s="27" t="s">
        <v>109</v>
      </c>
      <c r="M128" s="1">
        <f>154.4+1656.1+1819.5</f>
        <v>3630</v>
      </c>
      <c r="N128" s="1">
        <f>111+1550+1213.12629</f>
        <v>2874.1262900000002</v>
      </c>
      <c r="O128" s="1">
        <f>118.3+1797.6+1989.1</f>
        <v>3905</v>
      </c>
      <c r="P128" s="1">
        <f>271.7+1324.7+1999.8</f>
        <v>3596.2</v>
      </c>
      <c r="Q128" s="1">
        <f>368.2+1153.7+1613.9</f>
        <v>3135.8</v>
      </c>
      <c r="R128" s="1">
        <v>4783.8</v>
      </c>
      <c r="S128" s="1" t="s">
        <v>0</v>
      </c>
    </row>
    <row r="129" spans="1:19" ht="105" customHeight="1" x14ac:dyDescent="0.2">
      <c r="A129" s="103" t="s">
        <v>0</v>
      </c>
      <c r="B129" s="104" t="s">
        <v>0</v>
      </c>
      <c r="C129" s="27" t="s">
        <v>0</v>
      </c>
      <c r="D129" s="27" t="s">
        <v>0</v>
      </c>
      <c r="E129" s="27" t="s">
        <v>0</v>
      </c>
      <c r="F129" s="27" t="s">
        <v>0</v>
      </c>
      <c r="G129" s="27" t="s">
        <v>0</v>
      </c>
      <c r="H129" s="27" t="s">
        <v>0</v>
      </c>
      <c r="I129" s="27" t="s">
        <v>285</v>
      </c>
      <c r="J129" s="27" t="s">
        <v>34</v>
      </c>
      <c r="K129" s="27" t="s">
        <v>286</v>
      </c>
      <c r="L129" s="27" t="s">
        <v>0</v>
      </c>
      <c r="M129" s="1" t="s">
        <v>0</v>
      </c>
      <c r="N129" s="1" t="s">
        <v>0</v>
      </c>
      <c r="O129" s="1" t="s">
        <v>0</v>
      </c>
      <c r="P129" s="1" t="s">
        <v>0</v>
      </c>
      <c r="Q129" s="1" t="s">
        <v>0</v>
      </c>
      <c r="R129" s="1"/>
      <c r="S129" s="1" t="s">
        <v>0</v>
      </c>
    </row>
    <row r="130" spans="1:19" ht="100.5" customHeight="1" x14ac:dyDescent="0.2">
      <c r="A130" s="48" t="s">
        <v>529</v>
      </c>
      <c r="B130" s="49" t="s">
        <v>530</v>
      </c>
      <c r="C130" s="49"/>
      <c r="D130" s="49"/>
      <c r="E130" s="49"/>
      <c r="F130" s="49"/>
      <c r="G130" s="49"/>
      <c r="H130" s="49"/>
      <c r="I130" s="49"/>
      <c r="J130" s="49"/>
      <c r="K130" s="49"/>
      <c r="L130" s="49" t="s">
        <v>245</v>
      </c>
      <c r="M130" s="1">
        <v>0</v>
      </c>
      <c r="N130" s="1">
        <v>0</v>
      </c>
      <c r="O130" s="1">
        <f>20+1.9</f>
        <v>21.9</v>
      </c>
      <c r="P130" s="1">
        <f>20+1.9</f>
        <v>21.9</v>
      </c>
      <c r="Q130" s="1">
        <f>20+1.9</f>
        <v>21.9</v>
      </c>
      <c r="R130" s="1">
        <f>20+1.9</f>
        <v>21.9</v>
      </c>
      <c r="S130" s="1"/>
    </row>
    <row r="131" spans="1:19" ht="262.5" customHeight="1" x14ac:dyDescent="0.2">
      <c r="A131" s="103" t="s">
        <v>287</v>
      </c>
      <c r="B131" s="104" t="s">
        <v>288</v>
      </c>
      <c r="C131" s="27" t="s">
        <v>289</v>
      </c>
      <c r="D131" s="27" t="s">
        <v>290</v>
      </c>
      <c r="E131" s="27" t="s">
        <v>291</v>
      </c>
      <c r="F131" s="27" t="s">
        <v>292</v>
      </c>
      <c r="G131" s="27" t="s">
        <v>293</v>
      </c>
      <c r="H131" s="27" t="s">
        <v>294</v>
      </c>
      <c r="I131" s="27" t="s">
        <v>295</v>
      </c>
      <c r="J131" s="27" t="s">
        <v>260</v>
      </c>
      <c r="K131" s="27" t="s">
        <v>296</v>
      </c>
      <c r="L131" s="27" t="s">
        <v>297</v>
      </c>
      <c r="M131" s="1">
        <f>1303.467+9.5</f>
        <v>1312.9670000000001</v>
      </c>
      <c r="N131" s="1">
        <f>1303.467+9.5</f>
        <v>1312.9670000000001</v>
      </c>
      <c r="O131" s="1">
        <f>1303.493+10.7</f>
        <v>1314.193</v>
      </c>
      <c r="P131" s="1">
        <f>1.3+1303.5+9.4</f>
        <v>1314.2</v>
      </c>
      <c r="Q131" s="1">
        <f>1.3+1303.5+9.4</f>
        <v>1314.2</v>
      </c>
      <c r="R131" s="1">
        <f>1.3+1303.5+9.4</f>
        <v>1314.2</v>
      </c>
      <c r="S131" s="1" t="s">
        <v>0</v>
      </c>
    </row>
    <row r="132" spans="1:19" ht="312" x14ac:dyDescent="0.2">
      <c r="A132" s="103" t="s">
        <v>0</v>
      </c>
      <c r="B132" s="104" t="s">
        <v>0</v>
      </c>
      <c r="C132" s="27" t="s">
        <v>0</v>
      </c>
      <c r="D132" s="27" t="s">
        <v>0</v>
      </c>
      <c r="E132" s="27" t="s">
        <v>0</v>
      </c>
      <c r="F132" s="27" t="s">
        <v>298</v>
      </c>
      <c r="G132" s="27" t="s">
        <v>183</v>
      </c>
      <c r="H132" s="27" t="s">
        <v>299</v>
      </c>
      <c r="I132" s="27" t="s">
        <v>300</v>
      </c>
      <c r="J132" s="27" t="s">
        <v>34</v>
      </c>
      <c r="K132" s="27" t="s">
        <v>301</v>
      </c>
      <c r="L132" s="27" t="s">
        <v>0</v>
      </c>
      <c r="M132" s="1" t="s">
        <v>0</v>
      </c>
      <c r="N132" s="1" t="s">
        <v>0</v>
      </c>
      <c r="O132" s="1" t="s">
        <v>0</v>
      </c>
      <c r="P132" s="1" t="s">
        <v>0</v>
      </c>
      <c r="Q132" s="1" t="s">
        <v>0</v>
      </c>
      <c r="R132" s="1"/>
      <c r="S132" s="1" t="s">
        <v>0</v>
      </c>
    </row>
    <row r="133" spans="1:19" ht="96" x14ac:dyDescent="0.2">
      <c r="A133" s="103" t="s">
        <v>0</v>
      </c>
      <c r="B133" s="104" t="s">
        <v>0</v>
      </c>
      <c r="C133" s="27" t="s">
        <v>302</v>
      </c>
      <c r="D133" s="27" t="s">
        <v>34</v>
      </c>
      <c r="E133" s="27" t="s">
        <v>91</v>
      </c>
      <c r="F133" s="27" t="s">
        <v>0</v>
      </c>
      <c r="G133" s="27" t="s">
        <v>0</v>
      </c>
      <c r="H133" s="27" t="s">
        <v>0</v>
      </c>
      <c r="I133" s="27" t="s">
        <v>0</v>
      </c>
      <c r="J133" s="27" t="s">
        <v>0</v>
      </c>
      <c r="K133" s="27" t="s">
        <v>0</v>
      </c>
      <c r="L133" s="27"/>
      <c r="M133" s="1"/>
      <c r="N133" s="1"/>
      <c r="O133" s="1"/>
      <c r="P133" s="1"/>
      <c r="Q133" s="1"/>
      <c r="R133" s="1"/>
      <c r="S133" s="1"/>
    </row>
    <row r="134" spans="1:19" ht="108" x14ac:dyDescent="0.2">
      <c r="A134" s="103" t="s">
        <v>0</v>
      </c>
      <c r="B134" s="104" t="s">
        <v>0</v>
      </c>
      <c r="C134" s="27" t="s">
        <v>148</v>
      </c>
      <c r="D134" s="27" t="s">
        <v>34</v>
      </c>
      <c r="E134" s="27" t="s">
        <v>149</v>
      </c>
      <c r="F134" s="27" t="s">
        <v>0</v>
      </c>
      <c r="G134" s="27" t="s">
        <v>0</v>
      </c>
      <c r="H134" s="27" t="s">
        <v>0</v>
      </c>
      <c r="I134" s="27" t="s">
        <v>0</v>
      </c>
      <c r="J134" s="27" t="s">
        <v>0</v>
      </c>
      <c r="K134" s="27" t="s">
        <v>0</v>
      </c>
      <c r="L134" s="27"/>
      <c r="M134" s="1"/>
      <c r="N134" s="1"/>
      <c r="O134" s="1"/>
      <c r="P134" s="1"/>
      <c r="Q134" s="1"/>
      <c r="R134" s="1"/>
      <c r="S134" s="1"/>
    </row>
    <row r="135" spans="1:19" ht="348" x14ac:dyDescent="0.2">
      <c r="A135" s="26" t="s">
        <v>303</v>
      </c>
      <c r="B135" s="27" t="s">
        <v>304</v>
      </c>
      <c r="C135" s="27" t="s">
        <v>0</v>
      </c>
      <c r="D135" s="27" t="s">
        <v>0</v>
      </c>
      <c r="E135" s="27" t="s">
        <v>0</v>
      </c>
      <c r="F135" s="27" t="s">
        <v>292</v>
      </c>
      <c r="G135" s="27" t="s">
        <v>262</v>
      </c>
      <c r="H135" s="27" t="s">
        <v>294</v>
      </c>
      <c r="I135" s="27" t="s">
        <v>305</v>
      </c>
      <c r="J135" s="27" t="s">
        <v>306</v>
      </c>
      <c r="K135" s="27" t="s">
        <v>307</v>
      </c>
      <c r="L135" s="27" t="s">
        <v>308</v>
      </c>
      <c r="M135" s="1">
        <f>3357</f>
        <v>3357</v>
      </c>
      <c r="N135" s="1">
        <f>2805.44854</f>
        <v>2805.4485399999999</v>
      </c>
      <c r="O135" s="1">
        <f>5327.9</f>
        <v>5327.9</v>
      </c>
      <c r="P135" s="1">
        <f>5539.7</f>
        <v>5539.7</v>
      </c>
      <c r="Q135" s="1">
        <f>5756.5</f>
        <v>5756.5</v>
      </c>
      <c r="R135" s="1">
        <f>5986.8</f>
        <v>5986.8</v>
      </c>
      <c r="S135" s="1" t="s">
        <v>0</v>
      </c>
    </row>
    <row r="136" spans="1:19" ht="288" x14ac:dyDescent="0.2">
      <c r="A136" s="103" t="s">
        <v>309</v>
      </c>
      <c r="B136" s="104" t="s">
        <v>310</v>
      </c>
      <c r="C136" s="27" t="s">
        <v>0</v>
      </c>
      <c r="D136" s="27" t="s">
        <v>0</v>
      </c>
      <c r="E136" s="27" t="s">
        <v>0</v>
      </c>
      <c r="F136" s="27" t="s">
        <v>292</v>
      </c>
      <c r="G136" s="27" t="s">
        <v>311</v>
      </c>
      <c r="H136" s="27" t="s">
        <v>294</v>
      </c>
      <c r="I136" s="27" t="s">
        <v>312</v>
      </c>
      <c r="J136" s="27" t="s">
        <v>260</v>
      </c>
      <c r="K136" s="27" t="s">
        <v>313</v>
      </c>
      <c r="L136" s="27" t="s">
        <v>314</v>
      </c>
      <c r="M136" s="1">
        <f>11476.6+99.6</f>
        <v>11576.2</v>
      </c>
      <c r="N136" s="1">
        <v>8143.9973300000001</v>
      </c>
      <c r="O136" s="1">
        <f>10951.7+100.1</f>
        <v>11051.800000000001</v>
      </c>
      <c r="P136" s="1">
        <f>11281.4+100.1</f>
        <v>11381.5</v>
      </c>
      <c r="Q136" s="1">
        <f>11611.2+100.1</f>
        <v>11711.300000000001</v>
      </c>
      <c r="R136" s="1">
        <f>11878.3+100.1</f>
        <v>11978.4</v>
      </c>
      <c r="S136" s="1" t="s">
        <v>0</v>
      </c>
    </row>
    <row r="137" spans="1:19" ht="252" x14ac:dyDescent="0.2">
      <c r="A137" s="103" t="s">
        <v>0</v>
      </c>
      <c r="B137" s="104" t="s">
        <v>0</v>
      </c>
      <c r="C137" s="27" t="s">
        <v>0</v>
      </c>
      <c r="D137" s="27" t="s">
        <v>0</v>
      </c>
      <c r="E137" s="27" t="s">
        <v>0</v>
      </c>
      <c r="F137" s="27" t="s">
        <v>292</v>
      </c>
      <c r="G137" s="27" t="s">
        <v>315</v>
      </c>
      <c r="H137" s="27" t="s">
        <v>294</v>
      </c>
      <c r="I137" s="27" t="s">
        <v>0</v>
      </c>
      <c r="J137" s="27" t="s">
        <v>0</v>
      </c>
      <c r="K137" s="27" t="s">
        <v>0</v>
      </c>
      <c r="L137" s="27" t="s">
        <v>0</v>
      </c>
      <c r="M137" s="1" t="s">
        <v>0</v>
      </c>
      <c r="N137" s="1" t="s">
        <v>0</v>
      </c>
      <c r="O137" s="1" t="s">
        <v>0</v>
      </c>
      <c r="P137" s="1" t="s">
        <v>0</v>
      </c>
      <c r="Q137" s="1"/>
      <c r="R137" s="1"/>
      <c r="S137" s="1" t="s">
        <v>0</v>
      </c>
    </row>
    <row r="138" spans="1:19" ht="252" x14ac:dyDescent="0.2">
      <c r="A138" s="103" t="s">
        <v>0</v>
      </c>
      <c r="B138" s="104" t="s">
        <v>0</v>
      </c>
      <c r="C138" s="27" t="s">
        <v>0</v>
      </c>
      <c r="D138" s="27" t="s">
        <v>0</v>
      </c>
      <c r="E138" s="27" t="s">
        <v>0</v>
      </c>
      <c r="F138" s="27" t="s">
        <v>292</v>
      </c>
      <c r="G138" s="27" t="s">
        <v>316</v>
      </c>
      <c r="H138" s="27" t="s">
        <v>294</v>
      </c>
      <c r="I138" s="27" t="s">
        <v>0</v>
      </c>
      <c r="J138" s="27" t="s">
        <v>0</v>
      </c>
      <c r="K138" s="27" t="s">
        <v>0</v>
      </c>
      <c r="L138" s="27" t="s">
        <v>0</v>
      </c>
      <c r="M138" s="1" t="s">
        <v>0</v>
      </c>
      <c r="N138" s="1" t="s">
        <v>0</v>
      </c>
      <c r="O138" s="1" t="s">
        <v>0</v>
      </c>
      <c r="P138" s="1" t="s">
        <v>0</v>
      </c>
      <c r="Q138" s="1" t="s">
        <v>0</v>
      </c>
      <c r="R138" s="1"/>
      <c r="S138" s="1" t="s">
        <v>0</v>
      </c>
    </row>
    <row r="139" spans="1:19" ht="199.5" customHeight="1" x14ac:dyDescent="0.2">
      <c r="A139" s="103" t="s">
        <v>317</v>
      </c>
      <c r="B139" s="104" t="s">
        <v>318</v>
      </c>
      <c r="C139" s="27" t="s">
        <v>0</v>
      </c>
      <c r="D139" s="27" t="s">
        <v>0</v>
      </c>
      <c r="E139" s="27" t="s">
        <v>0</v>
      </c>
      <c r="F139" s="27" t="s">
        <v>319</v>
      </c>
      <c r="G139" s="27" t="s">
        <v>320</v>
      </c>
      <c r="H139" s="27" t="s">
        <v>321</v>
      </c>
      <c r="I139" s="27" t="s">
        <v>322</v>
      </c>
      <c r="J139" s="27" t="s">
        <v>34</v>
      </c>
      <c r="K139" s="27" t="s">
        <v>323</v>
      </c>
      <c r="L139" s="27" t="s">
        <v>324</v>
      </c>
      <c r="M139" s="1">
        <f>427.7+7.9+254.7</f>
        <v>690.3</v>
      </c>
      <c r="N139" s="1">
        <f>427.7+7.9+254.7</f>
        <v>690.3</v>
      </c>
      <c r="O139" s="1">
        <f>445.5+262.3+8.7</f>
        <v>716.5</v>
      </c>
      <c r="P139" s="1">
        <f>356.1+89.4+248.8+14+8.7</f>
        <v>717</v>
      </c>
      <c r="Q139" s="1">
        <f>356.1+89.4+248.8+14.4+8.7</f>
        <v>717.4</v>
      </c>
      <c r="R139" s="1">
        <v>717.9</v>
      </c>
      <c r="S139" s="1" t="s">
        <v>0</v>
      </c>
    </row>
    <row r="140" spans="1:19" ht="156" x14ac:dyDescent="0.2">
      <c r="A140" s="103" t="s">
        <v>0</v>
      </c>
      <c r="B140" s="104" t="s">
        <v>0</v>
      </c>
      <c r="C140" s="27" t="s">
        <v>0</v>
      </c>
      <c r="D140" s="27" t="s">
        <v>0</v>
      </c>
      <c r="E140" s="27" t="s">
        <v>0</v>
      </c>
      <c r="F140" s="27" t="s">
        <v>325</v>
      </c>
      <c r="G140" s="27" t="s">
        <v>326</v>
      </c>
      <c r="H140" s="27" t="s">
        <v>327</v>
      </c>
      <c r="I140" s="27" t="s">
        <v>0</v>
      </c>
      <c r="J140" s="27" t="s">
        <v>0</v>
      </c>
      <c r="K140" s="27" t="s">
        <v>0</v>
      </c>
      <c r="L140" s="27" t="s">
        <v>0</v>
      </c>
      <c r="M140" s="1" t="s">
        <v>0</v>
      </c>
      <c r="N140" s="1" t="s">
        <v>0</v>
      </c>
      <c r="O140" s="1" t="s">
        <v>0</v>
      </c>
      <c r="P140" s="1" t="s">
        <v>0</v>
      </c>
      <c r="Q140" s="1" t="s">
        <v>0</v>
      </c>
      <c r="R140" s="1"/>
      <c r="S140" s="1" t="s">
        <v>0</v>
      </c>
    </row>
    <row r="141" spans="1:19" ht="324" x14ac:dyDescent="0.2">
      <c r="A141" s="12" t="s">
        <v>328</v>
      </c>
      <c r="B141" s="13" t="s">
        <v>329</v>
      </c>
      <c r="C141" s="13" t="s">
        <v>330</v>
      </c>
      <c r="D141" s="13" t="s">
        <v>331</v>
      </c>
      <c r="E141" s="13" t="s">
        <v>332</v>
      </c>
      <c r="F141" s="13" t="s">
        <v>333</v>
      </c>
      <c r="G141" s="13" t="s">
        <v>281</v>
      </c>
      <c r="H141" s="13" t="s">
        <v>334</v>
      </c>
      <c r="I141" s="13" t="s">
        <v>335</v>
      </c>
      <c r="J141" s="13" t="s">
        <v>336</v>
      </c>
      <c r="K141" s="13" t="s">
        <v>337</v>
      </c>
      <c r="L141" s="9" t="s">
        <v>324</v>
      </c>
      <c r="M141" s="14">
        <f>287.9</f>
        <v>287.89999999999998</v>
      </c>
      <c r="N141" s="14">
        <f>287.9</f>
        <v>287.89999999999998</v>
      </c>
      <c r="O141" s="14">
        <f>298.6</f>
        <v>298.60000000000002</v>
      </c>
      <c r="P141" s="14">
        <f>285.4+13.7</f>
        <v>299.09999999999997</v>
      </c>
      <c r="Q141" s="32">
        <f>285.4+14.2</f>
        <v>299.59999999999997</v>
      </c>
      <c r="R141" s="32">
        <f>300.1</f>
        <v>300.10000000000002</v>
      </c>
      <c r="S141" s="14" t="s">
        <v>0</v>
      </c>
    </row>
    <row r="142" spans="1:19" ht="152.25" customHeight="1" x14ac:dyDescent="0.2">
      <c r="A142" s="22" t="s">
        <v>460</v>
      </c>
      <c r="B142" s="23" t="s">
        <v>459</v>
      </c>
      <c r="C142" s="23"/>
      <c r="D142" s="24"/>
      <c r="E142" s="24"/>
      <c r="F142" s="23" t="s">
        <v>461</v>
      </c>
      <c r="G142" s="23" t="s">
        <v>34</v>
      </c>
      <c r="H142" s="24"/>
      <c r="I142" s="23" t="s">
        <v>462</v>
      </c>
      <c r="J142" s="23" t="s">
        <v>202</v>
      </c>
      <c r="K142" s="24"/>
      <c r="L142" s="39" t="s">
        <v>68</v>
      </c>
      <c r="M142" s="25">
        <f>1102.8</f>
        <v>1102.8</v>
      </c>
      <c r="N142" s="25">
        <f>0</f>
        <v>0</v>
      </c>
      <c r="O142" s="25">
        <f>2443.9</f>
        <v>2443.9</v>
      </c>
      <c r="P142" s="25">
        <f t="shared" ref="P142:R142" si="14">2443.9</f>
        <v>2443.9</v>
      </c>
      <c r="Q142" s="25">
        <f t="shared" si="14"/>
        <v>2443.9</v>
      </c>
      <c r="R142" s="25">
        <f t="shared" si="14"/>
        <v>2443.9</v>
      </c>
      <c r="S142" s="25"/>
    </row>
    <row r="143" spans="1:19" ht="296.25" customHeight="1" x14ac:dyDescent="0.2">
      <c r="A143" s="19" t="s">
        <v>338</v>
      </c>
      <c r="B143" s="20" t="s">
        <v>339</v>
      </c>
      <c r="C143" s="20" t="s">
        <v>0</v>
      </c>
      <c r="D143" s="20" t="s">
        <v>0</v>
      </c>
      <c r="E143" s="20" t="s">
        <v>0</v>
      </c>
      <c r="F143" s="20" t="s">
        <v>340</v>
      </c>
      <c r="G143" s="20" t="s">
        <v>281</v>
      </c>
      <c r="H143" s="20" t="s">
        <v>341</v>
      </c>
      <c r="I143" s="20" t="s">
        <v>342</v>
      </c>
      <c r="J143" s="20" t="s">
        <v>306</v>
      </c>
      <c r="K143" s="20" t="s">
        <v>343</v>
      </c>
      <c r="L143" s="20" t="s">
        <v>109</v>
      </c>
      <c r="M143" s="21">
        <f>1157.6</f>
        <v>1157.5999999999999</v>
      </c>
      <c r="N143" s="21">
        <v>0</v>
      </c>
      <c r="O143" s="21">
        <f>1309</f>
        <v>1309</v>
      </c>
      <c r="P143" s="21">
        <f>1262.2</f>
        <v>1262.2</v>
      </c>
      <c r="Q143" s="33">
        <f>1215.5</f>
        <v>1215.5</v>
      </c>
      <c r="R143" s="33">
        <v>1400.4</v>
      </c>
      <c r="S143" s="21" t="s">
        <v>0</v>
      </c>
    </row>
    <row r="144" spans="1:19" ht="204" x14ac:dyDescent="0.2">
      <c r="A144" s="26" t="s">
        <v>344</v>
      </c>
      <c r="B144" s="27" t="s">
        <v>345</v>
      </c>
      <c r="C144" s="27" t="s">
        <v>0</v>
      </c>
      <c r="D144" s="27" t="s">
        <v>0</v>
      </c>
      <c r="E144" s="27" t="s">
        <v>0</v>
      </c>
      <c r="F144" s="27" t="s">
        <v>346</v>
      </c>
      <c r="G144" s="27" t="s">
        <v>347</v>
      </c>
      <c r="H144" s="27" t="s">
        <v>348</v>
      </c>
      <c r="I144" s="27" t="s">
        <v>349</v>
      </c>
      <c r="J144" s="27" t="s">
        <v>260</v>
      </c>
      <c r="K144" s="27" t="s">
        <v>350</v>
      </c>
      <c r="L144" s="27" t="s">
        <v>147</v>
      </c>
      <c r="M144" s="1">
        <f>16.5</f>
        <v>16.5</v>
      </c>
      <c r="N144" s="1">
        <f>16.5</f>
        <v>16.5</v>
      </c>
      <c r="O144" s="1">
        <f>16.5</f>
        <v>16.5</v>
      </c>
      <c r="P144" s="1">
        <v>16.5</v>
      </c>
      <c r="Q144" s="1">
        <v>16.5</v>
      </c>
      <c r="R144" s="1">
        <v>16.5</v>
      </c>
      <c r="S144" s="1" t="s">
        <v>0</v>
      </c>
    </row>
    <row r="145" spans="1:20" ht="300" x14ac:dyDescent="0.2">
      <c r="A145" s="26" t="s">
        <v>351</v>
      </c>
      <c r="B145" s="27" t="s">
        <v>352</v>
      </c>
      <c r="C145" s="27" t="s">
        <v>76</v>
      </c>
      <c r="D145" s="27" t="s">
        <v>353</v>
      </c>
      <c r="E145" s="27" t="s">
        <v>78</v>
      </c>
      <c r="F145" s="27" t="s">
        <v>354</v>
      </c>
      <c r="G145" s="27" t="s">
        <v>355</v>
      </c>
      <c r="H145" s="27" t="s">
        <v>356</v>
      </c>
      <c r="I145" s="27" t="s">
        <v>357</v>
      </c>
      <c r="J145" s="27" t="s">
        <v>358</v>
      </c>
      <c r="K145" s="27" t="s">
        <v>359</v>
      </c>
      <c r="L145" s="27" t="s">
        <v>324</v>
      </c>
      <c r="M145" s="1">
        <v>102.5</v>
      </c>
      <c r="N145" s="1">
        <v>102.5</v>
      </c>
      <c r="O145" s="1">
        <f>72</f>
        <v>72</v>
      </c>
      <c r="P145" s="1">
        <v>71.400000000000006</v>
      </c>
      <c r="Q145" s="1">
        <v>70.900000000000006</v>
      </c>
      <c r="R145" s="1">
        <v>119.9</v>
      </c>
      <c r="S145" s="1" t="s">
        <v>0</v>
      </c>
    </row>
    <row r="146" spans="1:20" ht="335.25" customHeight="1" x14ac:dyDescent="0.2">
      <c r="A146" s="18" t="s">
        <v>463</v>
      </c>
      <c r="B146" s="17" t="s">
        <v>464</v>
      </c>
      <c r="C146" s="27" t="s">
        <v>0</v>
      </c>
      <c r="D146" s="27" t="s">
        <v>0</v>
      </c>
      <c r="E146" s="27" t="s">
        <v>0</v>
      </c>
      <c r="F146" s="27" t="s">
        <v>360</v>
      </c>
      <c r="G146" s="27" t="s">
        <v>361</v>
      </c>
      <c r="H146" s="27" t="s">
        <v>362</v>
      </c>
      <c r="I146" s="27" t="s">
        <v>363</v>
      </c>
      <c r="J146" s="27" t="s">
        <v>306</v>
      </c>
      <c r="K146" s="27" t="s">
        <v>364</v>
      </c>
      <c r="L146" s="27" t="s">
        <v>324</v>
      </c>
      <c r="M146" s="1">
        <f>310.2+10.4</f>
        <v>320.59999999999997</v>
      </c>
      <c r="N146" s="1">
        <f>310.2+10.4</f>
        <v>320.59999999999997</v>
      </c>
      <c r="O146" s="1">
        <v>320.2</v>
      </c>
      <c r="P146" s="1">
        <f>306.7+14</f>
        <v>320.7</v>
      </c>
      <c r="Q146" s="1">
        <f>306.7+14.6</f>
        <v>321.3</v>
      </c>
      <c r="R146" s="1">
        <f>322</f>
        <v>322</v>
      </c>
      <c r="S146" s="1" t="s">
        <v>0</v>
      </c>
    </row>
    <row r="147" spans="1:20" ht="48" x14ac:dyDescent="0.2">
      <c r="A147" s="26" t="s">
        <v>365</v>
      </c>
      <c r="B147" s="27" t="s">
        <v>366</v>
      </c>
      <c r="C147" s="27" t="s">
        <v>0</v>
      </c>
      <c r="D147" s="27" t="s">
        <v>0</v>
      </c>
      <c r="E147" s="27" t="s">
        <v>0</v>
      </c>
      <c r="F147" s="27" t="s">
        <v>0</v>
      </c>
      <c r="G147" s="27" t="s">
        <v>0</v>
      </c>
      <c r="H147" s="27" t="s">
        <v>0</v>
      </c>
      <c r="I147" s="27" t="s">
        <v>0</v>
      </c>
      <c r="J147" s="27" t="s">
        <v>0</v>
      </c>
      <c r="K147" s="27" t="s">
        <v>0</v>
      </c>
      <c r="L147" s="27" t="s">
        <v>367</v>
      </c>
      <c r="M147" s="1">
        <f>M148+M149+M150</f>
        <v>230700.5</v>
      </c>
      <c r="N147" s="1">
        <f t="shared" ref="N147:R147" si="15">N148+N149+N150</f>
        <v>226156.5</v>
      </c>
      <c r="O147" s="1">
        <f t="shared" si="15"/>
        <v>162054.30000000002</v>
      </c>
      <c r="P147" s="1">
        <f t="shared" si="15"/>
        <v>175277.5</v>
      </c>
      <c r="Q147" s="1">
        <f t="shared" si="15"/>
        <v>159815.4</v>
      </c>
      <c r="R147" s="1">
        <f t="shared" si="15"/>
        <v>274664.40000000002</v>
      </c>
      <c r="S147" s="1" t="s">
        <v>0</v>
      </c>
    </row>
    <row r="148" spans="1:20" ht="409.5" x14ac:dyDescent="0.2">
      <c r="A148" s="26" t="s">
        <v>368</v>
      </c>
      <c r="B148" s="27" t="s">
        <v>369</v>
      </c>
      <c r="C148" s="27" t="s">
        <v>51</v>
      </c>
      <c r="D148" s="27" t="s">
        <v>370</v>
      </c>
      <c r="E148" s="27" t="s">
        <v>53</v>
      </c>
      <c r="F148" s="27" t="s">
        <v>371</v>
      </c>
      <c r="G148" s="27" t="s">
        <v>281</v>
      </c>
      <c r="H148" s="27" t="s">
        <v>372</v>
      </c>
      <c r="I148" s="27" t="s">
        <v>373</v>
      </c>
      <c r="J148" s="27" t="s">
        <v>260</v>
      </c>
      <c r="K148" s="27" t="s">
        <v>374</v>
      </c>
      <c r="L148" s="27" t="s">
        <v>60</v>
      </c>
      <c r="M148" s="1">
        <f>94794.591-682-317.9</f>
        <v>93794.691000000006</v>
      </c>
      <c r="N148" s="1">
        <v>90010.409</v>
      </c>
      <c r="O148" s="1">
        <f>72512.3</f>
        <v>72512.3</v>
      </c>
      <c r="P148" s="1">
        <f>77681.5</f>
        <v>77681.5</v>
      </c>
      <c r="Q148" s="1">
        <f>71028.2</f>
        <v>71028.2</v>
      </c>
      <c r="R148" s="1">
        <v>121723.8</v>
      </c>
      <c r="S148" s="1" t="s">
        <v>0</v>
      </c>
    </row>
    <row r="149" spans="1:20" ht="409.5" x14ac:dyDescent="0.2">
      <c r="A149" s="26" t="s">
        <v>375</v>
      </c>
      <c r="B149" s="27" t="s">
        <v>376</v>
      </c>
      <c r="C149" s="27" t="s">
        <v>51</v>
      </c>
      <c r="D149" s="27" t="s">
        <v>370</v>
      </c>
      <c r="E149" s="27" t="s">
        <v>53</v>
      </c>
      <c r="F149" s="27" t="s">
        <v>371</v>
      </c>
      <c r="G149" s="27" t="s">
        <v>281</v>
      </c>
      <c r="H149" s="27" t="s">
        <v>372</v>
      </c>
      <c r="I149" s="27" t="s">
        <v>373</v>
      </c>
      <c r="J149" s="27" t="s">
        <v>260</v>
      </c>
      <c r="K149" s="27" t="s">
        <v>374</v>
      </c>
      <c r="L149" s="27" t="s">
        <v>60</v>
      </c>
      <c r="M149" s="1">
        <f>42045.509+682+317.9</f>
        <v>43045.409</v>
      </c>
      <c r="N149" s="1">
        <v>42285.690999999999</v>
      </c>
      <c r="O149" s="1">
        <f>29599.9</f>
        <v>29599.9</v>
      </c>
      <c r="P149" s="1">
        <v>32200.2</v>
      </c>
      <c r="Q149" s="1">
        <v>30271.5</v>
      </c>
      <c r="R149" s="1">
        <v>46618.8</v>
      </c>
      <c r="S149" s="1" t="s">
        <v>0</v>
      </c>
      <c r="T149" s="42"/>
    </row>
    <row r="150" spans="1:20" ht="360" x14ac:dyDescent="0.2">
      <c r="A150" s="26" t="s">
        <v>377</v>
      </c>
      <c r="B150" s="27" t="s">
        <v>378</v>
      </c>
      <c r="C150" s="27" t="s">
        <v>51</v>
      </c>
      <c r="D150" s="27" t="s">
        <v>370</v>
      </c>
      <c r="E150" s="27" t="s">
        <v>53</v>
      </c>
      <c r="F150" s="27" t="s">
        <v>379</v>
      </c>
      <c r="G150" s="27" t="s">
        <v>355</v>
      </c>
      <c r="H150" s="27" t="s">
        <v>380</v>
      </c>
      <c r="I150" s="27" t="s">
        <v>381</v>
      </c>
      <c r="J150" s="27" t="s">
        <v>260</v>
      </c>
      <c r="K150" s="27" t="s">
        <v>374</v>
      </c>
      <c r="L150" s="27" t="s">
        <v>54</v>
      </c>
      <c r="M150" s="1">
        <v>93860.4</v>
      </c>
      <c r="N150" s="1">
        <v>93860.4</v>
      </c>
      <c r="O150" s="1">
        <v>59942.1</v>
      </c>
      <c r="P150" s="1">
        <v>65395.8</v>
      </c>
      <c r="Q150" s="1">
        <v>58515.7</v>
      </c>
      <c r="R150" s="1">
        <v>106321.8</v>
      </c>
      <c r="S150" s="1" t="s">
        <v>0</v>
      </c>
    </row>
    <row r="151" spans="1:20" ht="62.25" customHeight="1" x14ac:dyDescent="0.2">
      <c r="A151" s="26" t="s">
        <v>382</v>
      </c>
      <c r="B151" s="27" t="s">
        <v>383</v>
      </c>
      <c r="C151" s="27" t="s">
        <v>0</v>
      </c>
      <c r="D151" s="27" t="s">
        <v>0</v>
      </c>
      <c r="E151" s="27" t="s">
        <v>0</v>
      </c>
      <c r="F151" s="27" t="s">
        <v>0</v>
      </c>
      <c r="G151" s="27" t="s">
        <v>0</v>
      </c>
      <c r="H151" s="27" t="s">
        <v>0</v>
      </c>
      <c r="I151" s="27" t="s">
        <v>0</v>
      </c>
      <c r="J151" s="27" t="s">
        <v>0</v>
      </c>
      <c r="K151" s="27" t="s">
        <v>0</v>
      </c>
      <c r="L151" s="27" t="s">
        <v>384</v>
      </c>
      <c r="M151" s="1">
        <f>M152+M155+M153</f>
        <v>11554.519549999999</v>
      </c>
      <c r="N151" s="1">
        <f t="shared" ref="N151:R151" si="16">N152+N155+N153</f>
        <v>10020.892110000001</v>
      </c>
      <c r="O151" s="1">
        <f t="shared" si="16"/>
        <v>4683.7000000000007</v>
      </c>
      <c r="P151" s="1">
        <f t="shared" si="16"/>
        <v>4835.0000000000009</v>
      </c>
      <c r="Q151" s="1">
        <f t="shared" si="16"/>
        <v>4917.6000000000004</v>
      </c>
      <c r="R151" s="1">
        <f t="shared" si="16"/>
        <v>5001.9000000000015</v>
      </c>
      <c r="S151" s="1" t="s">
        <v>0</v>
      </c>
    </row>
    <row r="152" spans="1:20" ht="163.5" customHeight="1" x14ac:dyDescent="0.2">
      <c r="A152" s="26" t="s">
        <v>385</v>
      </c>
      <c r="B152" s="27" t="s">
        <v>386</v>
      </c>
      <c r="C152" s="27" t="s">
        <v>30</v>
      </c>
      <c r="D152" s="27" t="s">
        <v>387</v>
      </c>
      <c r="E152" s="27" t="s">
        <v>32</v>
      </c>
      <c r="F152" s="27" t="s">
        <v>388</v>
      </c>
      <c r="G152" s="27" t="s">
        <v>230</v>
      </c>
      <c r="H152" s="27" t="s">
        <v>389</v>
      </c>
      <c r="I152" s="17" t="s">
        <v>456</v>
      </c>
      <c r="J152" s="27" t="s">
        <v>34</v>
      </c>
      <c r="K152" s="34">
        <v>42727</v>
      </c>
      <c r="L152" s="27" t="s">
        <v>390</v>
      </c>
      <c r="M152" s="1">
        <v>9.5</v>
      </c>
      <c r="N152" s="1">
        <v>9.5</v>
      </c>
      <c r="O152" s="1">
        <v>19.100000000000001</v>
      </c>
      <c r="P152" s="1">
        <v>0</v>
      </c>
      <c r="Q152" s="1">
        <v>0</v>
      </c>
      <c r="R152" s="1">
        <v>0</v>
      </c>
      <c r="S152" s="1" t="s">
        <v>0</v>
      </c>
    </row>
    <row r="153" spans="1:20" x14ac:dyDescent="0.2">
      <c r="A153" s="18" t="s">
        <v>451</v>
      </c>
      <c r="B153" s="17" t="s">
        <v>450</v>
      </c>
      <c r="C153" s="27"/>
      <c r="D153" s="27"/>
      <c r="E153" s="27"/>
      <c r="F153" s="27"/>
      <c r="G153" s="27"/>
      <c r="H153" s="27"/>
      <c r="I153" s="27"/>
      <c r="J153" s="27"/>
      <c r="K153" s="27"/>
      <c r="L153" s="17" t="s">
        <v>453</v>
      </c>
      <c r="M153" s="1">
        <f>M154</f>
        <v>3196.1</v>
      </c>
      <c r="N153" s="1">
        <f t="shared" ref="N153:R153" si="17">N154</f>
        <v>3111.3</v>
      </c>
      <c r="O153" s="1">
        <f t="shared" si="17"/>
        <v>1079.4000000000001</v>
      </c>
      <c r="P153" s="1">
        <f t="shared" si="17"/>
        <v>1079.4000000000001</v>
      </c>
      <c r="Q153" s="1">
        <f t="shared" si="17"/>
        <v>1079.4000000000001</v>
      </c>
      <c r="R153" s="1">
        <f t="shared" si="17"/>
        <v>1079.4000000000001</v>
      </c>
      <c r="S153" s="1"/>
    </row>
    <row r="154" spans="1:20" ht="259.5" customHeight="1" x14ac:dyDescent="0.2">
      <c r="A154" s="18" t="s">
        <v>454</v>
      </c>
      <c r="B154" s="17" t="s">
        <v>452</v>
      </c>
      <c r="C154" s="27" t="s">
        <v>30</v>
      </c>
      <c r="D154" s="27" t="s">
        <v>387</v>
      </c>
      <c r="E154" s="27" t="s">
        <v>32</v>
      </c>
      <c r="F154" s="27" t="s">
        <v>388</v>
      </c>
      <c r="G154" s="27" t="s">
        <v>230</v>
      </c>
      <c r="H154" s="27" t="s">
        <v>389</v>
      </c>
      <c r="I154" s="17" t="s">
        <v>455</v>
      </c>
      <c r="J154" s="27" t="s">
        <v>34</v>
      </c>
      <c r="K154" s="34">
        <v>43887</v>
      </c>
      <c r="L154" s="17" t="s">
        <v>453</v>
      </c>
      <c r="M154" s="1">
        <f>3196.1</f>
        <v>3196.1</v>
      </c>
      <c r="N154" s="1">
        <f>3111.3</f>
        <v>3111.3</v>
      </c>
      <c r="O154" s="1">
        <v>1079.4000000000001</v>
      </c>
      <c r="P154" s="1">
        <v>1079.4000000000001</v>
      </c>
      <c r="Q154" s="1">
        <v>1079.4000000000001</v>
      </c>
      <c r="R154" s="1">
        <v>1079.4000000000001</v>
      </c>
      <c r="S154" s="1"/>
    </row>
    <row r="155" spans="1:20" ht="24" x14ac:dyDescent="0.2">
      <c r="A155" s="26" t="s">
        <v>391</v>
      </c>
      <c r="B155" s="27" t="s">
        <v>392</v>
      </c>
      <c r="C155" s="27" t="s">
        <v>0</v>
      </c>
      <c r="D155" s="27" t="s">
        <v>0</v>
      </c>
      <c r="E155" s="27" t="s">
        <v>0</v>
      </c>
      <c r="F155" s="27" t="s">
        <v>0</v>
      </c>
      <c r="G155" s="27" t="s">
        <v>0</v>
      </c>
      <c r="H155" s="27" t="s">
        <v>0</v>
      </c>
      <c r="I155" s="27" t="s">
        <v>0</v>
      </c>
      <c r="J155" s="27" t="s">
        <v>0</v>
      </c>
      <c r="K155" s="27" t="s">
        <v>0</v>
      </c>
      <c r="L155" s="17" t="s">
        <v>444</v>
      </c>
      <c r="M155" s="1">
        <f>M156</f>
        <v>8348.9195499999987</v>
      </c>
      <c r="N155" s="1">
        <f t="shared" ref="N155:R155" si="18">N156</f>
        <v>6900.0921099999996</v>
      </c>
      <c r="O155" s="1">
        <f t="shared" si="18"/>
        <v>3585.2000000000007</v>
      </c>
      <c r="P155" s="1">
        <f t="shared" si="18"/>
        <v>3755.6000000000008</v>
      </c>
      <c r="Q155" s="1">
        <f t="shared" si="18"/>
        <v>3838.2000000000007</v>
      </c>
      <c r="R155" s="1">
        <f t="shared" si="18"/>
        <v>3922.5000000000009</v>
      </c>
      <c r="S155" s="1" t="s">
        <v>0</v>
      </c>
    </row>
    <row r="156" spans="1:20" ht="60" x14ac:dyDescent="0.2">
      <c r="A156" s="26" t="s">
        <v>393</v>
      </c>
      <c r="B156" s="27" t="s">
        <v>394</v>
      </c>
      <c r="C156" s="27" t="s">
        <v>0</v>
      </c>
      <c r="D156" s="27" t="s">
        <v>0</v>
      </c>
      <c r="E156" s="27" t="s">
        <v>0</v>
      </c>
      <c r="F156" s="27" t="s">
        <v>0</v>
      </c>
      <c r="G156" s="27" t="s">
        <v>0</v>
      </c>
      <c r="H156" s="27" t="s">
        <v>0</v>
      </c>
      <c r="I156" s="27" t="s">
        <v>0</v>
      </c>
      <c r="J156" s="27" t="s">
        <v>0</v>
      </c>
      <c r="K156" s="27" t="s">
        <v>0</v>
      </c>
      <c r="L156" s="17" t="s">
        <v>444</v>
      </c>
      <c r="M156" s="1">
        <f>M157+M158+M159+M160+M161+M162+M163+M164</f>
        <v>8348.9195499999987</v>
      </c>
      <c r="N156" s="1">
        <f t="shared" ref="N156:R156" si="19">N157+N158+N159+N160+N161+N162+N163+N164</f>
        <v>6900.0921099999996</v>
      </c>
      <c r="O156" s="1">
        <f t="shared" si="19"/>
        <v>3585.2000000000007</v>
      </c>
      <c r="P156" s="1">
        <f t="shared" si="19"/>
        <v>3755.6000000000008</v>
      </c>
      <c r="Q156" s="1">
        <f>Q157+Q158+Q159+Q160+Q161+Q162+Q163+Q164</f>
        <v>3838.2000000000007</v>
      </c>
      <c r="R156" s="1">
        <f t="shared" si="19"/>
        <v>3922.5000000000009</v>
      </c>
      <c r="S156" s="1" t="s">
        <v>0</v>
      </c>
    </row>
    <row r="157" spans="1:20" ht="245.25" customHeight="1" x14ac:dyDescent="0.2">
      <c r="A157" s="18" t="s">
        <v>445</v>
      </c>
      <c r="B157" s="17" t="s">
        <v>442</v>
      </c>
      <c r="C157" s="27" t="s">
        <v>30</v>
      </c>
      <c r="D157" s="27" t="s">
        <v>156</v>
      </c>
      <c r="E157" s="27" t="s">
        <v>32</v>
      </c>
      <c r="F157" s="27" t="s">
        <v>388</v>
      </c>
      <c r="G157" s="27" t="s">
        <v>395</v>
      </c>
      <c r="H157" s="27" t="s">
        <v>389</v>
      </c>
      <c r="I157" s="27" t="s">
        <v>417</v>
      </c>
      <c r="J157" s="31" t="s">
        <v>34</v>
      </c>
      <c r="K157" s="35">
        <v>41996</v>
      </c>
      <c r="L157" s="17" t="s">
        <v>324</v>
      </c>
      <c r="M157" s="1">
        <v>0</v>
      </c>
      <c r="N157" s="1">
        <v>0</v>
      </c>
      <c r="O157" s="1">
        <v>68.8</v>
      </c>
      <c r="P157" s="1">
        <v>68.8</v>
      </c>
      <c r="Q157" s="1">
        <v>68.8</v>
      </c>
      <c r="R157" s="1">
        <v>68.8</v>
      </c>
      <c r="S157" s="1" t="s">
        <v>0</v>
      </c>
    </row>
    <row r="158" spans="1:20" ht="240" x14ac:dyDescent="0.2">
      <c r="A158" s="26" t="s">
        <v>396</v>
      </c>
      <c r="B158" s="27" t="s">
        <v>397</v>
      </c>
      <c r="C158" s="27" t="s">
        <v>30</v>
      </c>
      <c r="D158" s="27" t="s">
        <v>156</v>
      </c>
      <c r="E158" s="27" t="s">
        <v>32</v>
      </c>
      <c r="F158" s="27" t="s">
        <v>388</v>
      </c>
      <c r="G158" s="27" t="s">
        <v>395</v>
      </c>
      <c r="H158" s="27" t="s">
        <v>389</v>
      </c>
      <c r="I158" s="27" t="s">
        <v>417</v>
      </c>
      <c r="J158" s="31" t="s">
        <v>34</v>
      </c>
      <c r="K158" s="35">
        <v>41996</v>
      </c>
      <c r="L158" s="27" t="s">
        <v>44</v>
      </c>
      <c r="M158" s="1">
        <f>2784.6</f>
        <v>2784.6</v>
      </c>
      <c r="N158" s="1">
        <f>1665.47732</f>
        <v>1665.47732</v>
      </c>
      <c r="O158" s="1">
        <v>2557.5</v>
      </c>
      <c r="P158" s="1">
        <v>2727.9</v>
      </c>
      <c r="Q158" s="1">
        <v>2810.5</v>
      </c>
      <c r="R158" s="1">
        <v>2894.8</v>
      </c>
      <c r="S158" s="1" t="s">
        <v>0</v>
      </c>
    </row>
    <row r="159" spans="1:20" ht="247.5" customHeight="1" x14ac:dyDescent="0.2">
      <c r="A159" s="18" t="s">
        <v>446</v>
      </c>
      <c r="B159" s="17" t="s">
        <v>443</v>
      </c>
      <c r="C159" s="27" t="s">
        <v>30</v>
      </c>
      <c r="D159" s="27" t="s">
        <v>156</v>
      </c>
      <c r="E159" s="27" t="s">
        <v>32</v>
      </c>
      <c r="F159" s="27" t="s">
        <v>388</v>
      </c>
      <c r="G159" s="27" t="s">
        <v>395</v>
      </c>
      <c r="H159" s="27" t="s">
        <v>389</v>
      </c>
      <c r="I159" s="27" t="s">
        <v>417</v>
      </c>
      <c r="J159" s="31" t="s">
        <v>34</v>
      </c>
      <c r="K159" s="35">
        <v>41996</v>
      </c>
      <c r="L159" s="17" t="s">
        <v>36</v>
      </c>
      <c r="M159" s="1">
        <f>304.38303</f>
        <v>304.38303000000002</v>
      </c>
      <c r="N159" s="1">
        <v>0</v>
      </c>
      <c r="O159" s="1">
        <v>170</v>
      </c>
      <c r="P159" s="1">
        <v>170</v>
      </c>
      <c r="Q159" s="1">
        <v>170</v>
      </c>
      <c r="R159" s="1">
        <v>170</v>
      </c>
      <c r="S159" s="1" t="s">
        <v>0</v>
      </c>
    </row>
    <row r="160" spans="1:20" ht="247.5" customHeight="1" x14ac:dyDescent="0.2">
      <c r="A160" s="37" t="s">
        <v>512</v>
      </c>
      <c r="B160" s="27" t="s">
        <v>437</v>
      </c>
      <c r="C160" s="27" t="s">
        <v>30</v>
      </c>
      <c r="D160" s="27" t="s">
        <v>156</v>
      </c>
      <c r="E160" s="27" t="s">
        <v>32</v>
      </c>
      <c r="F160" s="27" t="s">
        <v>388</v>
      </c>
      <c r="G160" s="27" t="s">
        <v>395</v>
      </c>
      <c r="H160" s="27" t="s">
        <v>389</v>
      </c>
      <c r="I160" s="27" t="s">
        <v>417</v>
      </c>
      <c r="J160" s="31" t="s">
        <v>34</v>
      </c>
      <c r="K160" s="35">
        <v>41996</v>
      </c>
      <c r="L160" s="27" t="s">
        <v>160</v>
      </c>
      <c r="M160" s="1">
        <f>2059.6+2144.12353</f>
        <v>4203.7235299999993</v>
      </c>
      <c r="N160" s="1">
        <f>2059.6+2144.12353</f>
        <v>4203.7235299999993</v>
      </c>
      <c r="O160" s="1">
        <v>0</v>
      </c>
      <c r="P160" s="1">
        <v>0</v>
      </c>
      <c r="Q160" s="1">
        <v>0</v>
      </c>
      <c r="R160" s="1">
        <v>0</v>
      </c>
      <c r="S160" s="1" t="s">
        <v>0</v>
      </c>
    </row>
    <row r="161" spans="1:19" ht="248.25" customHeight="1" x14ac:dyDescent="0.2">
      <c r="A161" s="18" t="s">
        <v>398</v>
      </c>
      <c r="B161" s="27" t="s">
        <v>399</v>
      </c>
      <c r="C161" s="27" t="s">
        <v>30</v>
      </c>
      <c r="D161" s="27" t="s">
        <v>156</v>
      </c>
      <c r="E161" s="27" t="s">
        <v>32</v>
      </c>
      <c r="F161" s="27" t="s">
        <v>388</v>
      </c>
      <c r="G161" s="27" t="s">
        <v>395</v>
      </c>
      <c r="H161" s="27" t="s">
        <v>389</v>
      </c>
      <c r="I161" s="27" t="s">
        <v>417</v>
      </c>
      <c r="J161" s="31" t="s">
        <v>34</v>
      </c>
      <c r="K161" s="35">
        <v>41996</v>
      </c>
      <c r="L161" s="27" t="s">
        <v>400</v>
      </c>
      <c r="M161" s="1">
        <f>180</f>
        <v>180</v>
      </c>
      <c r="N161" s="1">
        <f>180</f>
        <v>180</v>
      </c>
      <c r="O161" s="1">
        <v>270</v>
      </c>
      <c r="P161" s="1">
        <v>270</v>
      </c>
      <c r="Q161" s="1">
        <v>270</v>
      </c>
      <c r="R161" s="1">
        <v>270</v>
      </c>
      <c r="S161" s="1" t="s">
        <v>0</v>
      </c>
    </row>
    <row r="162" spans="1:19" ht="248.25" customHeight="1" x14ac:dyDescent="0.2">
      <c r="A162" s="16" t="s">
        <v>447</v>
      </c>
      <c r="B162" s="27" t="s">
        <v>438</v>
      </c>
      <c r="C162" s="27" t="s">
        <v>30</v>
      </c>
      <c r="D162" s="27" t="s">
        <v>156</v>
      </c>
      <c r="E162" s="27" t="s">
        <v>32</v>
      </c>
      <c r="F162" s="27" t="s">
        <v>388</v>
      </c>
      <c r="G162" s="27" t="s">
        <v>395</v>
      </c>
      <c r="H162" s="27" t="s">
        <v>389</v>
      </c>
      <c r="I162" s="27" t="s">
        <v>417</v>
      </c>
      <c r="J162" s="31" t="s">
        <v>34</v>
      </c>
      <c r="K162" s="35">
        <v>41996</v>
      </c>
      <c r="L162" s="15" t="s">
        <v>441</v>
      </c>
      <c r="M162" s="14">
        <v>0</v>
      </c>
      <c r="N162" s="14">
        <v>0</v>
      </c>
      <c r="O162" s="14">
        <v>68.8</v>
      </c>
      <c r="P162" s="14">
        <v>68.8</v>
      </c>
      <c r="Q162" s="32">
        <v>68.8</v>
      </c>
      <c r="R162" s="32">
        <v>68.8</v>
      </c>
      <c r="S162" s="14"/>
    </row>
    <row r="163" spans="1:19" ht="248.25" customHeight="1" x14ac:dyDescent="0.2">
      <c r="A163" s="16" t="s">
        <v>448</v>
      </c>
      <c r="B163" s="27" t="s">
        <v>439</v>
      </c>
      <c r="C163" s="27" t="s">
        <v>30</v>
      </c>
      <c r="D163" s="27" t="s">
        <v>156</v>
      </c>
      <c r="E163" s="27" t="s">
        <v>32</v>
      </c>
      <c r="F163" s="27" t="s">
        <v>388</v>
      </c>
      <c r="G163" s="27" t="s">
        <v>395</v>
      </c>
      <c r="H163" s="27" t="s">
        <v>389</v>
      </c>
      <c r="I163" s="27" t="s">
        <v>417</v>
      </c>
      <c r="J163" s="31" t="s">
        <v>34</v>
      </c>
      <c r="K163" s="35">
        <v>41996</v>
      </c>
      <c r="L163" s="47" t="s">
        <v>516</v>
      </c>
      <c r="M163" s="14">
        <f>89.3+786.91299</f>
        <v>876.21298999999999</v>
      </c>
      <c r="N163" s="14">
        <f>64.3+786.59126</f>
        <v>850.89125999999999</v>
      </c>
      <c r="O163" s="14">
        <v>381.3</v>
      </c>
      <c r="P163" s="14">
        <v>381.3</v>
      </c>
      <c r="Q163" s="32">
        <v>381.3</v>
      </c>
      <c r="R163" s="32">
        <v>381.3</v>
      </c>
      <c r="S163" s="14"/>
    </row>
    <row r="164" spans="1:19" ht="248.25" customHeight="1" x14ac:dyDescent="0.2">
      <c r="A164" s="16" t="s">
        <v>449</v>
      </c>
      <c r="B164" s="27" t="s">
        <v>440</v>
      </c>
      <c r="C164" s="27" t="s">
        <v>30</v>
      </c>
      <c r="D164" s="27" t="s">
        <v>156</v>
      </c>
      <c r="E164" s="27" t="s">
        <v>32</v>
      </c>
      <c r="F164" s="27" t="s">
        <v>388</v>
      </c>
      <c r="G164" s="27" t="s">
        <v>395</v>
      </c>
      <c r="H164" s="27" t="s">
        <v>389</v>
      </c>
      <c r="I164" s="27" t="s">
        <v>417</v>
      </c>
      <c r="J164" s="31" t="s">
        <v>34</v>
      </c>
      <c r="K164" s="35">
        <v>41996</v>
      </c>
      <c r="L164" s="15" t="s">
        <v>441</v>
      </c>
      <c r="M164" s="14">
        <v>0</v>
      </c>
      <c r="N164" s="14">
        <v>0</v>
      </c>
      <c r="O164" s="14">
        <v>68.8</v>
      </c>
      <c r="P164" s="14">
        <v>68.8</v>
      </c>
      <c r="Q164" s="32">
        <v>68.8</v>
      </c>
      <c r="R164" s="32">
        <v>68.8</v>
      </c>
      <c r="S164" s="14"/>
    </row>
    <row r="165" spans="1:19" ht="36" x14ac:dyDescent="0.2">
      <c r="A165" s="8" t="s">
        <v>401</v>
      </c>
      <c r="B165" s="9" t="s">
        <v>402</v>
      </c>
      <c r="C165" s="9" t="s">
        <v>0</v>
      </c>
      <c r="D165" s="9" t="s">
        <v>0</v>
      </c>
      <c r="E165" s="9" t="s">
        <v>0</v>
      </c>
      <c r="F165" s="9" t="s">
        <v>0</v>
      </c>
      <c r="G165" s="9" t="s">
        <v>0</v>
      </c>
      <c r="H165" s="9" t="s">
        <v>0</v>
      </c>
      <c r="I165" s="9" t="s">
        <v>0</v>
      </c>
      <c r="J165" s="9" t="s">
        <v>0</v>
      </c>
      <c r="K165" s="9" t="s">
        <v>0</v>
      </c>
      <c r="L165" s="9" t="s">
        <v>403</v>
      </c>
      <c r="M165" s="10">
        <v>0</v>
      </c>
      <c r="N165" s="10">
        <v>0</v>
      </c>
      <c r="O165" s="10">
        <v>0</v>
      </c>
      <c r="P165" s="10">
        <f>6481.6+3240.8</f>
        <v>9722.4000000000015</v>
      </c>
      <c r="Q165" s="10">
        <f>11671.4+5835.7</f>
        <v>17507.099999999999</v>
      </c>
      <c r="R165" s="10">
        <v>0</v>
      </c>
      <c r="S165" s="10" t="s">
        <v>0</v>
      </c>
    </row>
    <row r="166" spans="1:19" ht="72" x14ac:dyDescent="0.2">
      <c r="A166" s="53" t="s">
        <v>540</v>
      </c>
      <c r="B166" s="54" t="s">
        <v>541</v>
      </c>
      <c r="C166" s="54" t="s">
        <v>0</v>
      </c>
      <c r="D166" s="54" t="s">
        <v>0</v>
      </c>
      <c r="E166" s="54" t="s">
        <v>0</v>
      </c>
      <c r="F166" s="54" t="s">
        <v>0</v>
      </c>
      <c r="G166" s="54" t="s">
        <v>0</v>
      </c>
      <c r="H166" s="54" t="s">
        <v>0</v>
      </c>
      <c r="I166" s="54" t="s">
        <v>0</v>
      </c>
      <c r="J166" s="54" t="s">
        <v>0</v>
      </c>
      <c r="K166" s="54" t="s">
        <v>0</v>
      </c>
      <c r="L166" s="55" t="s">
        <v>542</v>
      </c>
      <c r="M166" s="25">
        <f>M167+M192+M205+M210+M215+M219</f>
        <v>130249.11980000001</v>
      </c>
      <c r="N166" s="25">
        <f t="shared" ref="N166:R166" si="20">N167+N192+N205+N210+N215+N219</f>
        <v>121479.74111999999</v>
      </c>
      <c r="O166" s="25">
        <f t="shared" si="20"/>
        <v>269461.49489000003</v>
      </c>
      <c r="P166" s="25">
        <f t="shared" si="20"/>
        <v>79398.853860000017</v>
      </c>
      <c r="Q166" s="25">
        <f t="shared" si="20"/>
        <v>81467.269419999997</v>
      </c>
      <c r="R166" s="25">
        <f t="shared" si="20"/>
        <v>100448.40000000001</v>
      </c>
      <c r="S166" s="25"/>
    </row>
    <row r="167" spans="1:19" ht="48" x14ac:dyDescent="0.2">
      <c r="A167" s="53" t="s">
        <v>543</v>
      </c>
      <c r="B167" s="54" t="s">
        <v>544</v>
      </c>
      <c r="C167" s="54" t="s">
        <v>0</v>
      </c>
      <c r="D167" s="54" t="s">
        <v>0</v>
      </c>
      <c r="E167" s="54" t="s">
        <v>0</v>
      </c>
      <c r="F167" s="54" t="s">
        <v>0</v>
      </c>
      <c r="G167" s="54" t="s">
        <v>0</v>
      </c>
      <c r="H167" s="54" t="s">
        <v>0</v>
      </c>
      <c r="I167" s="54" t="s">
        <v>0</v>
      </c>
      <c r="J167" s="54" t="s">
        <v>0</v>
      </c>
      <c r="K167" s="54" t="s">
        <v>0</v>
      </c>
      <c r="L167" s="55" t="s">
        <v>545</v>
      </c>
      <c r="M167" s="25">
        <f>M168</f>
        <v>111378.42448</v>
      </c>
      <c r="N167" s="25">
        <f t="shared" ref="N167:R167" si="21">N168</f>
        <v>104031.45457999999</v>
      </c>
      <c r="O167" s="25">
        <f t="shared" si="21"/>
        <v>249552.38673000003</v>
      </c>
      <c r="P167" s="25">
        <f t="shared" si="21"/>
        <v>58668.534170000006</v>
      </c>
      <c r="Q167" s="25">
        <f t="shared" si="21"/>
        <v>59350.069420000007</v>
      </c>
      <c r="R167" s="25">
        <f t="shared" si="21"/>
        <v>82237.700000000012</v>
      </c>
      <c r="S167" s="25"/>
    </row>
    <row r="168" spans="1:19" ht="48" x14ac:dyDescent="0.2">
      <c r="A168" s="53" t="s">
        <v>546</v>
      </c>
      <c r="B168" s="54" t="s">
        <v>547</v>
      </c>
      <c r="C168" s="54" t="s">
        <v>0</v>
      </c>
      <c r="D168" s="54" t="s">
        <v>0</v>
      </c>
      <c r="E168" s="54" t="s">
        <v>0</v>
      </c>
      <c r="F168" s="54" t="s">
        <v>0</v>
      </c>
      <c r="G168" s="54" t="s">
        <v>0</v>
      </c>
      <c r="H168" s="54" t="s">
        <v>0</v>
      </c>
      <c r="I168" s="54" t="s">
        <v>0</v>
      </c>
      <c r="J168" s="54" t="s">
        <v>0</v>
      </c>
      <c r="K168" s="54" t="s">
        <v>0</v>
      </c>
      <c r="L168" s="55" t="s">
        <v>545</v>
      </c>
      <c r="M168" s="25">
        <f>M169+M171+M175+M177+M179+M183+M185+M187+M189+M181+M191+M186</f>
        <v>111378.42448</v>
      </c>
      <c r="N168" s="25">
        <f t="shared" ref="N168:R168" si="22">N169+N171+N175+N177+N179+N183+N185+N187+N189+N181+N191+N186</f>
        <v>104031.45457999999</v>
      </c>
      <c r="O168" s="25">
        <f t="shared" si="22"/>
        <v>249552.38673000003</v>
      </c>
      <c r="P168" s="25">
        <f t="shared" si="22"/>
        <v>58668.534170000006</v>
      </c>
      <c r="Q168" s="25">
        <f t="shared" si="22"/>
        <v>59350.069420000007</v>
      </c>
      <c r="R168" s="25">
        <f t="shared" si="22"/>
        <v>82237.700000000012</v>
      </c>
      <c r="S168" s="25"/>
    </row>
    <row r="169" spans="1:19" ht="84" x14ac:dyDescent="0.2">
      <c r="A169" s="113" t="s">
        <v>548</v>
      </c>
      <c r="B169" s="114" t="s">
        <v>549</v>
      </c>
      <c r="C169" s="54" t="s">
        <v>30</v>
      </c>
      <c r="D169" s="54" t="s">
        <v>550</v>
      </c>
      <c r="E169" s="54" t="s">
        <v>32</v>
      </c>
      <c r="F169" s="54" t="s">
        <v>0</v>
      </c>
      <c r="G169" s="54" t="s">
        <v>0</v>
      </c>
      <c r="H169" s="54" t="s">
        <v>0</v>
      </c>
      <c r="I169" s="54" t="s">
        <v>0</v>
      </c>
      <c r="J169" s="54" t="s">
        <v>0</v>
      </c>
      <c r="K169" s="54" t="s">
        <v>0</v>
      </c>
      <c r="L169" s="55" t="s">
        <v>36</v>
      </c>
      <c r="M169" s="25">
        <f>296.6</f>
        <v>296.60000000000002</v>
      </c>
      <c r="N169" s="25">
        <f>296.6</f>
        <v>296.60000000000002</v>
      </c>
      <c r="O169" s="25">
        <f>621.7</f>
        <v>621.70000000000005</v>
      </c>
      <c r="P169" s="25">
        <v>470</v>
      </c>
      <c r="Q169" s="25">
        <v>470</v>
      </c>
      <c r="R169" s="25">
        <v>500</v>
      </c>
      <c r="S169" s="25"/>
    </row>
    <row r="170" spans="1:19" ht="60" x14ac:dyDescent="0.2">
      <c r="A170" s="113" t="s">
        <v>0</v>
      </c>
      <c r="B170" s="114" t="s">
        <v>0</v>
      </c>
      <c r="C170" s="54" t="s">
        <v>37</v>
      </c>
      <c r="D170" s="54" t="s">
        <v>38</v>
      </c>
      <c r="E170" s="54" t="s">
        <v>39</v>
      </c>
      <c r="F170" s="54" t="s">
        <v>0</v>
      </c>
      <c r="G170" s="54" t="s">
        <v>0</v>
      </c>
      <c r="H170" s="54" t="s">
        <v>0</v>
      </c>
      <c r="I170" s="54" t="s">
        <v>0</v>
      </c>
      <c r="J170" s="54" t="s">
        <v>0</v>
      </c>
      <c r="K170" s="54" t="s">
        <v>0</v>
      </c>
      <c r="L170" s="55" t="s">
        <v>0</v>
      </c>
      <c r="M170" s="25"/>
      <c r="N170" s="25"/>
      <c r="O170" s="25"/>
      <c r="P170" s="25"/>
      <c r="Q170" s="25"/>
      <c r="R170" s="25"/>
      <c r="S170" s="25"/>
    </row>
    <row r="171" spans="1:19" ht="78" customHeight="1" x14ac:dyDescent="0.2">
      <c r="A171" s="113" t="s">
        <v>551</v>
      </c>
      <c r="B171" s="114" t="s">
        <v>552</v>
      </c>
      <c r="C171" s="54" t="s">
        <v>553</v>
      </c>
      <c r="D171" s="54" t="s">
        <v>524</v>
      </c>
      <c r="E171" s="54" t="s">
        <v>554</v>
      </c>
      <c r="F171" s="54" t="s">
        <v>0</v>
      </c>
      <c r="G171" s="54" t="s">
        <v>0</v>
      </c>
      <c r="H171" s="54" t="s">
        <v>0</v>
      </c>
      <c r="I171" s="54" t="s">
        <v>0</v>
      </c>
      <c r="J171" s="54" t="s">
        <v>0</v>
      </c>
      <c r="K171" s="54" t="s">
        <v>0</v>
      </c>
      <c r="L171" s="55" t="s">
        <v>641</v>
      </c>
      <c r="M171" s="25">
        <f>48.5+4940+48.45+220+1436.57189</f>
        <v>6693.52189</v>
      </c>
      <c r="N171" s="25">
        <f>48.45+4774.07856+48.45+186.999+1436.57189</f>
        <v>6494.5494499999995</v>
      </c>
      <c r="O171" s="25">
        <f>946.4+26638.83262+135+92</f>
        <v>27812.232620000002</v>
      </c>
      <c r="P171" s="25">
        <f>2875.7</f>
        <v>2875.7</v>
      </c>
      <c r="Q171" s="25">
        <v>2846.9</v>
      </c>
      <c r="R171" s="25">
        <v>2989.2</v>
      </c>
      <c r="S171" s="25"/>
    </row>
    <row r="172" spans="1:19" ht="87" customHeight="1" x14ac:dyDescent="0.2">
      <c r="A172" s="113" t="s">
        <v>0</v>
      </c>
      <c r="B172" s="114" t="s">
        <v>0</v>
      </c>
      <c r="C172" s="54" t="s">
        <v>30</v>
      </c>
      <c r="D172" s="54" t="s">
        <v>159</v>
      </c>
      <c r="E172" s="54" t="s">
        <v>32</v>
      </c>
      <c r="F172" s="54" t="s">
        <v>0</v>
      </c>
      <c r="G172" s="54" t="s">
        <v>0</v>
      </c>
      <c r="H172" s="54" t="s">
        <v>0</v>
      </c>
      <c r="I172" s="54" t="s">
        <v>0</v>
      </c>
      <c r="J172" s="54" t="s">
        <v>0</v>
      </c>
      <c r="K172" s="54" t="s">
        <v>0</v>
      </c>
      <c r="L172" s="55" t="s">
        <v>0</v>
      </c>
      <c r="M172" s="25"/>
      <c r="N172" s="25"/>
      <c r="O172" s="25"/>
      <c r="P172" s="25"/>
      <c r="Q172" s="25"/>
      <c r="R172" s="25"/>
      <c r="S172" s="25"/>
    </row>
    <row r="173" spans="1:19" ht="48" x14ac:dyDescent="0.2">
      <c r="A173" s="113" t="s">
        <v>0</v>
      </c>
      <c r="B173" s="114" t="s">
        <v>0</v>
      </c>
      <c r="C173" s="54" t="s">
        <v>555</v>
      </c>
      <c r="D173" s="54" t="s">
        <v>524</v>
      </c>
      <c r="E173" s="54" t="s">
        <v>556</v>
      </c>
      <c r="F173" s="54" t="s">
        <v>0</v>
      </c>
      <c r="G173" s="54" t="s">
        <v>0</v>
      </c>
      <c r="H173" s="54" t="s">
        <v>0</v>
      </c>
      <c r="I173" s="54" t="s">
        <v>0</v>
      </c>
      <c r="J173" s="54" t="s">
        <v>0</v>
      </c>
      <c r="K173" s="54" t="s">
        <v>0</v>
      </c>
      <c r="L173" s="55" t="s">
        <v>0</v>
      </c>
      <c r="M173" s="25"/>
      <c r="N173" s="25"/>
      <c r="O173" s="25"/>
      <c r="P173" s="25"/>
      <c r="Q173" s="25"/>
      <c r="R173" s="25"/>
      <c r="S173" s="25"/>
    </row>
    <row r="174" spans="1:19" ht="48" x14ac:dyDescent="0.2">
      <c r="A174" s="113" t="s">
        <v>0</v>
      </c>
      <c r="B174" s="114" t="s">
        <v>0</v>
      </c>
      <c r="C174" s="54" t="s">
        <v>557</v>
      </c>
      <c r="D174" s="54" t="s">
        <v>558</v>
      </c>
      <c r="E174" s="54" t="s">
        <v>125</v>
      </c>
      <c r="F174" s="54" t="s">
        <v>0</v>
      </c>
      <c r="G174" s="54" t="s">
        <v>0</v>
      </c>
      <c r="H174" s="54" t="s">
        <v>0</v>
      </c>
      <c r="I174" s="54" t="s">
        <v>0</v>
      </c>
      <c r="J174" s="54" t="s">
        <v>0</v>
      </c>
      <c r="K174" s="54" t="s">
        <v>0</v>
      </c>
      <c r="L174" s="55" t="s">
        <v>0</v>
      </c>
      <c r="M174" s="25"/>
      <c r="N174" s="25"/>
      <c r="O174" s="25"/>
      <c r="P174" s="25"/>
      <c r="Q174" s="25"/>
      <c r="R174" s="25"/>
      <c r="S174" s="25"/>
    </row>
    <row r="175" spans="1:19" ht="120" x14ac:dyDescent="0.2">
      <c r="A175" s="113" t="s">
        <v>559</v>
      </c>
      <c r="B175" s="114" t="s">
        <v>560</v>
      </c>
      <c r="C175" s="54" t="s">
        <v>561</v>
      </c>
      <c r="D175" s="54" t="s">
        <v>42</v>
      </c>
      <c r="E175" s="54" t="s">
        <v>43</v>
      </c>
      <c r="F175" s="54" t="s">
        <v>0</v>
      </c>
      <c r="G175" s="54" t="s">
        <v>0</v>
      </c>
      <c r="H175" s="54" t="s">
        <v>0</v>
      </c>
      <c r="I175" s="54" t="s">
        <v>0</v>
      </c>
      <c r="J175" s="54" t="s">
        <v>0</v>
      </c>
      <c r="K175" s="54" t="s">
        <v>0</v>
      </c>
      <c r="L175" s="55" t="s">
        <v>44</v>
      </c>
      <c r="M175" s="25">
        <v>25057.795300000002</v>
      </c>
      <c r="N175" s="25">
        <v>21803.724819999999</v>
      </c>
      <c r="O175" s="25">
        <f>68782.36687</f>
        <v>68782.366869999998</v>
      </c>
      <c r="P175" s="25">
        <f>21215.9</f>
        <v>21215.9</v>
      </c>
      <c r="Q175" s="25">
        <f>20868.2</f>
        <v>20868.2</v>
      </c>
      <c r="R175" s="25">
        <v>24560.1</v>
      </c>
      <c r="S175" s="25"/>
    </row>
    <row r="176" spans="1:19" ht="84" x14ac:dyDescent="0.2">
      <c r="A176" s="113" t="s">
        <v>0</v>
      </c>
      <c r="B176" s="114" t="s">
        <v>0</v>
      </c>
      <c r="C176" s="54" t="s">
        <v>30</v>
      </c>
      <c r="D176" s="54" t="s">
        <v>562</v>
      </c>
      <c r="E176" s="54" t="s">
        <v>32</v>
      </c>
      <c r="F176" s="54" t="s">
        <v>0</v>
      </c>
      <c r="G176" s="54" t="s">
        <v>0</v>
      </c>
      <c r="H176" s="54" t="s">
        <v>0</v>
      </c>
      <c r="I176" s="54" t="s">
        <v>0</v>
      </c>
      <c r="J176" s="54" t="s">
        <v>0</v>
      </c>
      <c r="K176" s="54" t="s">
        <v>0</v>
      </c>
      <c r="L176" s="55" t="s">
        <v>0</v>
      </c>
      <c r="M176" s="25"/>
      <c r="N176" s="25"/>
      <c r="O176" s="25"/>
      <c r="P176" s="25"/>
      <c r="Q176" s="25"/>
      <c r="R176" s="25"/>
      <c r="S176" s="25"/>
    </row>
    <row r="177" spans="1:19" ht="48" x14ac:dyDescent="0.2">
      <c r="A177" s="113" t="s">
        <v>563</v>
      </c>
      <c r="B177" s="114" t="s">
        <v>564</v>
      </c>
      <c r="C177" s="54" t="s">
        <v>141</v>
      </c>
      <c r="D177" s="54" t="s">
        <v>142</v>
      </c>
      <c r="E177" s="54" t="s">
        <v>143</v>
      </c>
      <c r="F177" s="54" t="s">
        <v>0</v>
      </c>
      <c r="G177" s="54" t="s">
        <v>0</v>
      </c>
      <c r="H177" s="54" t="s">
        <v>0</v>
      </c>
      <c r="I177" s="54" t="s">
        <v>0</v>
      </c>
      <c r="J177" s="54" t="s">
        <v>0</v>
      </c>
      <c r="K177" s="54" t="s">
        <v>0</v>
      </c>
      <c r="L177" s="55" t="s">
        <v>565</v>
      </c>
      <c r="M177" s="25">
        <f>2255.7+128+34.3</f>
        <v>2418</v>
      </c>
      <c r="N177" s="25">
        <f>2010.24824+34.3</f>
        <v>2044.5482399999999</v>
      </c>
      <c r="O177" s="25">
        <f>101954.43267</f>
        <v>101954.43266999999</v>
      </c>
      <c r="P177" s="25">
        <f>2200</f>
        <v>2200</v>
      </c>
      <c r="Q177" s="25">
        <f>2200</f>
        <v>2200</v>
      </c>
      <c r="R177" s="25">
        <f>2200</f>
        <v>2200</v>
      </c>
      <c r="S177" s="25"/>
    </row>
    <row r="178" spans="1:19" ht="84" x14ac:dyDescent="0.2">
      <c r="A178" s="113" t="s">
        <v>0</v>
      </c>
      <c r="B178" s="114" t="s">
        <v>0</v>
      </c>
      <c r="C178" s="54" t="s">
        <v>30</v>
      </c>
      <c r="D178" s="54" t="s">
        <v>145</v>
      </c>
      <c r="E178" s="54" t="s">
        <v>32</v>
      </c>
      <c r="F178" s="54" t="s">
        <v>0</v>
      </c>
      <c r="G178" s="54" t="s">
        <v>0</v>
      </c>
      <c r="H178" s="54" t="s">
        <v>0</v>
      </c>
      <c r="I178" s="54" t="s">
        <v>0</v>
      </c>
      <c r="J178" s="54" t="s">
        <v>0</v>
      </c>
      <c r="K178" s="54" t="s">
        <v>0</v>
      </c>
      <c r="L178" s="55" t="s">
        <v>0</v>
      </c>
      <c r="M178" s="25"/>
      <c r="N178" s="25"/>
      <c r="O178" s="25"/>
      <c r="P178" s="25"/>
      <c r="Q178" s="25"/>
      <c r="R178" s="25"/>
      <c r="S178" s="25"/>
    </row>
    <row r="179" spans="1:19" ht="84" x14ac:dyDescent="0.2">
      <c r="A179" s="113" t="s">
        <v>566</v>
      </c>
      <c r="B179" s="114" t="s">
        <v>567</v>
      </c>
      <c r="C179" s="54" t="s">
        <v>98</v>
      </c>
      <c r="D179" s="54" t="s">
        <v>99</v>
      </c>
      <c r="E179" s="54" t="s">
        <v>100</v>
      </c>
      <c r="F179" s="54" t="s">
        <v>0</v>
      </c>
      <c r="G179" s="54" t="s">
        <v>0</v>
      </c>
      <c r="H179" s="54" t="s">
        <v>0</v>
      </c>
      <c r="I179" s="54" t="s">
        <v>0</v>
      </c>
      <c r="J179" s="54" t="s">
        <v>0</v>
      </c>
      <c r="K179" s="54" t="s">
        <v>0</v>
      </c>
      <c r="L179" s="56" t="s">
        <v>648</v>
      </c>
      <c r="M179" s="25">
        <f>75.555+9572.5333</f>
        <v>9648.0882999999994</v>
      </c>
      <c r="N179" s="25">
        <f>42.5+9572.5333</f>
        <v>9615.0332999999991</v>
      </c>
      <c r="O179" s="25">
        <v>0</v>
      </c>
      <c r="P179" s="25">
        <v>0</v>
      </c>
      <c r="Q179" s="25">
        <v>0</v>
      </c>
      <c r="R179" s="25">
        <v>0</v>
      </c>
      <c r="S179" s="25"/>
    </row>
    <row r="180" spans="1:19" ht="89.25" customHeight="1" x14ac:dyDescent="0.2">
      <c r="A180" s="113" t="s">
        <v>0</v>
      </c>
      <c r="B180" s="114" t="s">
        <v>0</v>
      </c>
      <c r="C180" s="54" t="s">
        <v>30</v>
      </c>
      <c r="D180" s="54" t="s">
        <v>569</v>
      </c>
      <c r="E180" s="54" t="s">
        <v>32</v>
      </c>
      <c r="F180" s="54" t="s">
        <v>0</v>
      </c>
      <c r="G180" s="54" t="s">
        <v>0</v>
      </c>
      <c r="H180" s="54" t="s">
        <v>0</v>
      </c>
      <c r="I180" s="54" t="s">
        <v>0</v>
      </c>
      <c r="J180" s="54" t="s">
        <v>0</v>
      </c>
      <c r="K180" s="54" t="s">
        <v>0</v>
      </c>
      <c r="L180" s="55" t="s">
        <v>0</v>
      </c>
      <c r="M180" s="25"/>
      <c r="N180" s="25"/>
      <c r="O180" s="25"/>
      <c r="P180" s="25"/>
      <c r="Q180" s="25"/>
      <c r="R180" s="25"/>
      <c r="S180" s="25"/>
    </row>
    <row r="181" spans="1:19" ht="90" customHeight="1" x14ac:dyDescent="0.2">
      <c r="A181" s="87" t="s">
        <v>570</v>
      </c>
      <c r="B181" s="86" t="s">
        <v>571</v>
      </c>
      <c r="C181" s="51" t="s">
        <v>467</v>
      </c>
      <c r="D181" s="51" t="s">
        <v>572</v>
      </c>
      <c r="E181" s="54" t="s">
        <v>32</v>
      </c>
      <c r="F181" s="54"/>
      <c r="G181" s="54"/>
      <c r="H181" s="54"/>
      <c r="I181" s="54"/>
      <c r="J181" s="54"/>
      <c r="K181" s="54"/>
      <c r="L181" s="56" t="s">
        <v>573</v>
      </c>
      <c r="M181" s="25">
        <v>0</v>
      </c>
      <c r="N181" s="25">
        <v>0</v>
      </c>
      <c r="O181" s="25">
        <f>106.6203</f>
        <v>106.6203</v>
      </c>
      <c r="P181" s="25">
        <v>0</v>
      </c>
      <c r="Q181" s="25">
        <v>0</v>
      </c>
      <c r="R181" s="25">
        <v>0</v>
      </c>
      <c r="S181" s="25"/>
    </row>
    <row r="182" spans="1:19" ht="54" customHeight="1" x14ac:dyDescent="0.2">
      <c r="A182" s="115"/>
      <c r="B182" s="114" t="s">
        <v>0</v>
      </c>
      <c r="C182" s="51" t="s">
        <v>574</v>
      </c>
      <c r="D182" s="51" t="s">
        <v>575</v>
      </c>
      <c r="E182" s="51" t="s">
        <v>576</v>
      </c>
      <c r="F182" s="54"/>
      <c r="G182" s="54"/>
      <c r="H182" s="54"/>
      <c r="I182" s="54"/>
      <c r="J182" s="54"/>
      <c r="K182" s="54"/>
      <c r="L182" s="55"/>
      <c r="M182" s="25"/>
      <c r="N182" s="25"/>
      <c r="O182" s="25"/>
      <c r="P182" s="25"/>
      <c r="Q182" s="25"/>
      <c r="R182" s="25"/>
      <c r="S182" s="25"/>
    </row>
    <row r="183" spans="1:19" ht="60" x14ac:dyDescent="0.2">
      <c r="A183" s="113" t="s">
        <v>577</v>
      </c>
      <c r="B183" s="114" t="s">
        <v>578</v>
      </c>
      <c r="C183" s="54" t="s">
        <v>579</v>
      </c>
      <c r="D183" s="54" t="s">
        <v>214</v>
      </c>
      <c r="E183" s="54" t="s">
        <v>580</v>
      </c>
      <c r="F183" s="54" t="s">
        <v>0</v>
      </c>
      <c r="G183" s="54" t="s">
        <v>0</v>
      </c>
      <c r="H183" s="54" t="s">
        <v>0</v>
      </c>
      <c r="I183" s="54" t="s">
        <v>0</v>
      </c>
      <c r="J183" s="54" t="s">
        <v>0</v>
      </c>
      <c r="K183" s="54" t="s">
        <v>0</v>
      </c>
      <c r="L183" s="55" t="s">
        <v>649</v>
      </c>
      <c r="M183" s="25">
        <f>2830.21+1482.7732</f>
        <v>4312.9832000000006</v>
      </c>
      <c r="N183" s="25">
        <f>2829.424+1478.77834</f>
        <v>4308.2023399999998</v>
      </c>
      <c r="O183" s="25">
        <f>2757.65</f>
        <v>2757.65</v>
      </c>
      <c r="P183" s="25">
        <f>2900</f>
        <v>2900</v>
      </c>
      <c r="Q183" s="25">
        <f>3000</f>
        <v>3000</v>
      </c>
      <c r="R183" s="25">
        <f>3100</f>
        <v>3100</v>
      </c>
      <c r="S183" s="25"/>
    </row>
    <row r="184" spans="1:19" ht="84" x14ac:dyDescent="0.2">
      <c r="A184" s="113" t="s">
        <v>0</v>
      </c>
      <c r="B184" s="114" t="s">
        <v>0</v>
      </c>
      <c r="C184" s="54" t="s">
        <v>30</v>
      </c>
      <c r="D184" s="54" t="s">
        <v>582</v>
      </c>
      <c r="E184" s="54" t="s">
        <v>32</v>
      </c>
      <c r="F184" s="54" t="s">
        <v>0</v>
      </c>
      <c r="G184" s="54" t="s">
        <v>0</v>
      </c>
      <c r="H184" s="54" t="s">
        <v>0</v>
      </c>
      <c r="I184" s="54" t="s">
        <v>0</v>
      </c>
      <c r="J184" s="54" t="s">
        <v>0</v>
      </c>
      <c r="K184" s="54" t="s">
        <v>0</v>
      </c>
      <c r="L184" s="55" t="s">
        <v>0</v>
      </c>
      <c r="M184" s="25"/>
      <c r="N184" s="25"/>
      <c r="O184" s="25"/>
      <c r="P184" s="25"/>
      <c r="Q184" s="25"/>
      <c r="R184" s="25"/>
      <c r="S184" s="25"/>
    </row>
    <row r="185" spans="1:19" ht="87" customHeight="1" x14ac:dyDescent="0.2">
      <c r="A185" s="53" t="s">
        <v>583</v>
      </c>
      <c r="B185" s="54" t="s">
        <v>584</v>
      </c>
      <c r="C185" s="54" t="s">
        <v>30</v>
      </c>
      <c r="D185" s="54" t="s">
        <v>585</v>
      </c>
      <c r="E185" s="54" t="s">
        <v>32</v>
      </c>
      <c r="F185" s="54" t="s">
        <v>0</v>
      </c>
      <c r="G185" s="54" t="s">
        <v>0</v>
      </c>
      <c r="H185" s="54" t="s">
        <v>0</v>
      </c>
      <c r="I185" s="54" t="s">
        <v>0</v>
      </c>
      <c r="J185" s="54" t="s">
        <v>0</v>
      </c>
      <c r="K185" s="54" t="s">
        <v>0</v>
      </c>
      <c r="L185" s="55" t="s">
        <v>586</v>
      </c>
      <c r="M185" s="25">
        <f>21174.5008+4850.6105</f>
        <v>26025.1113</v>
      </c>
      <c r="N185" s="25">
        <f>18211.11883+4643.83916</f>
        <v>22854.957989999999</v>
      </c>
      <c r="O185" s="25">
        <f>36716.23+5234.9</f>
        <v>41951.130000000005</v>
      </c>
      <c r="P185" s="25">
        <f>22417.43417+5234.9</f>
        <v>27652.334170000002</v>
      </c>
      <c r="Q185" s="25">
        <f>22526.46942+5234.9</f>
        <v>27761.369420000003</v>
      </c>
      <c r="R185" s="25">
        <f>42503.5+5234.9</f>
        <v>47738.400000000001</v>
      </c>
      <c r="S185" s="25"/>
    </row>
    <row r="186" spans="1:19" ht="87" customHeight="1" x14ac:dyDescent="0.2">
      <c r="A186" s="59" t="s">
        <v>646</v>
      </c>
      <c r="B186" s="60" t="s">
        <v>647</v>
      </c>
      <c r="C186" s="60" t="s">
        <v>30</v>
      </c>
      <c r="D186" s="60" t="s">
        <v>585</v>
      </c>
      <c r="E186" s="60" t="s">
        <v>32</v>
      </c>
      <c r="F186" s="60"/>
      <c r="G186" s="60"/>
      <c r="H186" s="60"/>
      <c r="I186" s="60"/>
      <c r="J186" s="60"/>
      <c r="K186" s="60"/>
      <c r="L186" s="55" t="s">
        <v>586</v>
      </c>
      <c r="M186" s="25">
        <f>3726.21447+31969.12202+200</f>
        <v>35895.336490000002</v>
      </c>
      <c r="N186" s="25">
        <f>3726.21447+31969.12202+130.39</f>
        <v>35825.726490000001</v>
      </c>
      <c r="O186" s="25">
        <f>4401.75427</f>
        <v>4401.7542700000004</v>
      </c>
      <c r="P186" s="25">
        <v>0</v>
      </c>
      <c r="Q186" s="25">
        <v>0</v>
      </c>
      <c r="R186" s="25">
        <v>0</v>
      </c>
      <c r="S186" s="25"/>
    </row>
    <row r="187" spans="1:19" ht="92.25" customHeight="1" x14ac:dyDescent="0.2">
      <c r="A187" s="113" t="s">
        <v>587</v>
      </c>
      <c r="B187" s="114" t="s">
        <v>588</v>
      </c>
      <c r="C187" s="54" t="s">
        <v>30</v>
      </c>
      <c r="D187" s="54" t="s">
        <v>589</v>
      </c>
      <c r="E187" s="54" t="s">
        <v>32</v>
      </c>
      <c r="F187" s="54" t="s">
        <v>0</v>
      </c>
      <c r="G187" s="54" t="s">
        <v>0</v>
      </c>
      <c r="H187" s="54" t="s">
        <v>0</v>
      </c>
      <c r="I187" s="54" t="s">
        <v>0</v>
      </c>
      <c r="J187" s="54" t="s">
        <v>0</v>
      </c>
      <c r="K187" s="54" t="s">
        <v>0</v>
      </c>
      <c r="L187" s="55" t="s">
        <v>36</v>
      </c>
      <c r="M187" s="25">
        <f>545.288+99.9</f>
        <v>645.18799999999999</v>
      </c>
      <c r="N187" s="25">
        <f>545.288+99.9</f>
        <v>645.18799999999999</v>
      </c>
      <c r="O187" s="25">
        <v>389.9</v>
      </c>
      <c r="P187" s="25">
        <v>200</v>
      </c>
      <c r="Q187" s="25">
        <v>200</v>
      </c>
      <c r="R187" s="25">
        <v>200</v>
      </c>
      <c r="S187" s="25"/>
    </row>
    <row r="188" spans="1:19" ht="150" customHeight="1" x14ac:dyDescent="0.2">
      <c r="A188" s="113" t="s">
        <v>0</v>
      </c>
      <c r="B188" s="114" t="s">
        <v>0</v>
      </c>
      <c r="C188" s="54" t="s">
        <v>590</v>
      </c>
      <c r="D188" s="54" t="s">
        <v>214</v>
      </c>
      <c r="E188" s="54" t="s">
        <v>125</v>
      </c>
      <c r="F188" s="54" t="s">
        <v>0</v>
      </c>
      <c r="G188" s="54" t="s">
        <v>0</v>
      </c>
      <c r="H188" s="54" t="s">
        <v>0</v>
      </c>
      <c r="I188" s="54" t="s">
        <v>0</v>
      </c>
      <c r="J188" s="54" t="s">
        <v>0</v>
      </c>
      <c r="K188" s="54" t="s">
        <v>0</v>
      </c>
      <c r="L188" s="55" t="s">
        <v>0</v>
      </c>
      <c r="M188" s="25"/>
      <c r="N188" s="25"/>
      <c r="O188" s="25"/>
      <c r="P188" s="25"/>
      <c r="Q188" s="25"/>
      <c r="R188" s="25"/>
      <c r="S188" s="25"/>
    </row>
    <row r="189" spans="1:19" ht="54" customHeight="1" x14ac:dyDescent="0.2">
      <c r="A189" s="113" t="s">
        <v>591</v>
      </c>
      <c r="B189" s="114" t="s">
        <v>592</v>
      </c>
      <c r="C189" s="54" t="s">
        <v>593</v>
      </c>
      <c r="D189" s="54" t="s">
        <v>594</v>
      </c>
      <c r="E189" s="54" t="s">
        <v>595</v>
      </c>
      <c r="F189" s="54" t="s">
        <v>0</v>
      </c>
      <c r="G189" s="54" t="s">
        <v>0</v>
      </c>
      <c r="H189" s="54" t="s">
        <v>0</v>
      </c>
      <c r="I189" s="54" t="s">
        <v>0</v>
      </c>
      <c r="J189" s="54" t="s">
        <v>0</v>
      </c>
      <c r="K189" s="54" t="s">
        <v>0</v>
      </c>
      <c r="L189" s="55" t="s">
        <v>400</v>
      </c>
      <c r="M189" s="25">
        <v>144.6</v>
      </c>
      <c r="N189" s="25">
        <v>142.92394999999999</v>
      </c>
      <c r="O189" s="25">
        <v>444.6</v>
      </c>
      <c r="P189" s="25">
        <v>674.6</v>
      </c>
      <c r="Q189" s="25">
        <v>1523.6</v>
      </c>
      <c r="R189" s="25">
        <v>450</v>
      </c>
      <c r="S189" s="25"/>
    </row>
    <row r="190" spans="1:19" ht="89.25" customHeight="1" x14ac:dyDescent="0.2">
      <c r="A190" s="113" t="s">
        <v>0</v>
      </c>
      <c r="B190" s="114" t="s">
        <v>0</v>
      </c>
      <c r="C190" s="54" t="s">
        <v>30</v>
      </c>
      <c r="D190" s="54" t="s">
        <v>596</v>
      </c>
      <c r="E190" s="54" t="s">
        <v>32</v>
      </c>
      <c r="F190" s="54" t="s">
        <v>0</v>
      </c>
      <c r="G190" s="54" t="s">
        <v>0</v>
      </c>
      <c r="H190" s="54" t="s">
        <v>0</v>
      </c>
      <c r="I190" s="54" t="s">
        <v>0</v>
      </c>
      <c r="J190" s="54" t="s">
        <v>0</v>
      </c>
      <c r="K190" s="54" t="s">
        <v>0</v>
      </c>
      <c r="L190" s="55" t="s">
        <v>0</v>
      </c>
      <c r="M190" s="25"/>
      <c r="N190" s="25"/>
      <c r="O190" s="25"/>
      <c r="P190" s="25"/>
      <c r="Q190" s="25"/>
      <c r="R190" s="25"/>
      <c r="S190" s="25"/>
    </row>
    <row r="191" spans="1:19" ht="89.25" customHeight="1" x14ac:dyDescent="0.2">
      <c r="A191" s="57" t="s">
        <v>642</v>
      </c>
      <c r="B191" s="58" t="s">
        <v>643</v>
      </c>
      <c r="C191" s="58" t="s">
        <v>30</v>
      </c>
      <c r="D191" s="58" t="s">
        <v>644</v>
      </c>
      <c r="E191" s="58" t="s">
        <v>32</v>
      </c>
      <c r="F191" s="58" t="s">
        <v>0</v>
      </c>
      <c r="G191" s="58" t="s">
        <v>0</v>
      </c>
      <c r="H191" s="58" t="s">
        <v>0</v>
      </c>
      <c r="I191" s="58" t="s">
        <v>0</v>
      </c>
      <c r="J191" s="58" t="s">
        <v>0</v>
      </c>
      <c r="K191" s="58" t="s">
        <v>0</v>
      </c>
      <c r="L191" s="55" t="s">
        <v>645</v>
      </c>
      <c r="M191" s="25">
        <v>241.2</v>
      </c>
      <c r="N191" s="25">
        <v>0</v>
      </c>
      <c r="O191" s="25">
        <v>330</v>
      </c>
      <c r="P191" s="25">
        <v>480</v>
      </c>
      <c r="Q191" s="25">
        <v>480</v>
      </c>
      <c r="R191" s="25">
        <v>500</v>
      </c>
      <c r="S191" s="25"/>
    </row>
    <row r="192" spans="1:19" ht="113.25" customHeight="1" x14ac:dyDescent="0.2">
      <c r="A192" s="53" t="s">
        <v>597</v>
      </c>
      <c r="B192" s="54" t="s">
        <v>598</v>
      </c>
      <c r="C192" s="54" t="s">
        <v>0</v>
      </c>
      <c r="D192" s="54" t="s">
        <v>0</v>
      </c>
      <c r="E192" s="54" t="s">
        <v>0</v>
      </c>
      <c r="F192" s="54" t="s">
        <v>0</v>
      </c>
      <c r="G192" s="54" t="s">
        <v>0</v>
      </c>
      <c r="H192" s="54" t="s">
        <v>0</v>
      </c>
      <c r="I192" s="54" t="s">
        <v>0</v>
      </c>
      <c r="J192" s="54" t="s">
        <v>0</v>
      </c>
      <c r="K192" s="54" t="s">
        <v>0</v>
      </c>
      <c r="L192" s="56" t="s">
        <v>599</v>
      </c>
      <c r="M192" s="25">
        <f>M193+M195+M197+M199+M201+M203</f>
        <v>18149.125110000001</v>
      </c>
      <c r="N192" s="25">
        <f t="shared" ref="N192:R192" si="23">N193+N195+N197+N199+N201+N203</f>
        <v>16732.816329999998</v>
      </c>
      <c r="O192" s="25">
        <f t="shared" si="23"/>
        <v>18536.637129999999</v>
      </c>
      <c r="P192" s="25">
        <f t="shared" si="23"/>
        <v>16759.099999999999</v>
      </c>
      <c r="Q192" s="25">
        <f t="shared" si="23"/>
        <v>16698.3</v>
      </c>
      <c r="R192" s="25">
        <f t="shared" si="23"/>
        <v>17216.5</v>
      </c>
      <c r="S192" s="25"/>
    </row>
    <row r="193" spans="1:19" ht="108" x14ac:dyDescent="0.2">
      <c r="A193" s="113" t="s">
        <v>161</v>
      </c>
      <c r="B193" s="114" t="s">
        <v>600</v>
      </c>
      <c r="C193" s="54" t="s">
        <v>30</v>
      </c>
      <c r="D193" s="54" t="s">
        <v>167</v>
      </c>
      <c r="E193" s="54" t="s">
        <v>32</v>
      </c>
      <c r="F193" s="54" t="s">
        <v>168</v>
      </c>
      <c r="G193" s="54" t="s">
        <v>34</v>
      </c>
      <c r="H193" s="54" t="s">
        <v>125</v>
      </c>
      <c r="I193" s="54" t="s">
        <v>0</v>
      </c>
      <c r="J193" s="54" t="s">
        <v>0</v>
      </c>
      <c r="K193" s="54" t="s">
        <v>0</v>
      </c>
      <c r="L193" s="55" t="s">
        <v>601</v>
      </c>
      <c r="M193" s="25">
        <f>4369.31806-6.1</f>
        <v>4363.2180599999992</v>
      </c>
      <c r="N193" s="25">
        <f>3228.09724</f>
        <v>3228.0972400000001</v>
      </c>
      <c r="O193" s="25">
        <v>3366</v>
      </c>
      <c r="P193" s="25">
        <v>3593</v>
      </c>
      <c r="Q193" s="25">
        <v>3526</v>
      </c>
      <c r="R193" s="25">
        <v>4038</v>
      </c>
      <c r="S193" s="25"/>
    </row>
    <row r="194" spans="1:19" ht="84" x14ac:dyDescent="0.2">
      <c r="A194" s="113" t="s">
        <v>0</v>
      </c>
      <c r="B194" s="114" t="s">
        <v>0</v>
      </c>
      <c r="C194" s="54" t="s">
        <v>30</v>
      </c>
      <c r="D194" s="54" t="s">
        <v>170</v>
      </c>
      <c r="E194" s="54" t="s">
        <v>32</v>
      </c>
      <c r="F194" s="54" t="s">
        <v>0</v>
      </c>
      <c r="G194" s="54" t="s">
        <v>0</v>
      </c>
      <c r="H194" s="54" t="s">
        <v>0</v>
      </c>
      <c r="I194" s="54" t="s">
        <v>0</v>
      </c>
      <c r="J194" s="54" t="s">
        <v>0</v>
      </c>
      <c r="K194" s="54" t="s">
        <v>0</v>
      </c>
      <c r="L194" s="55" t="s">
        <v>0</v>
      </c>
      <c r="M194" s="25"/>
      <c r="N194" s="25"/>
      <c r="O194" s="25"/>
      <c r="P194" s="25"/>
      <c r="Q194" s="25"/>
      <c r="R194" s="25"/>
      <c r="S194" s="25"/>
    </row>
    <row r="195" spans="1:19" ht="123.75" customHeight="1" x14ac:dyDescent="0.2">
      <c r="A195" s="113" t="s">
        <v>162</v>
      </c>
      <c r="B195" s="114" t="s">
        <v>602</v>
      </c>
      <c r="C195" s="54" t="s">
        <v>30</v>
      </c>
      <c r="D195" s="54" t="s">
        <v>167</v>
      </c>
      <c r="E195" s="54" t="s">
        <v>32</v>
      </c>
      <c r="F195" s="54" t="s">
        <v>168</v>
      </c>
      <c r="G195" s="54" t="s">
        <v>34</v>
      </c>
      <c r="H195" s="54" t="s">
        <v>125</v>
      </c>
      <c r="I195" s="54" t="s">
        <v>0</v>
      </c>
      <c r="J195" s="54" t="s">
        <v>0</v>
      </c>
      <c r="K195" s="54" t="s">
        <v>0</v>
      </c>
      <c r="L195" s="55" t="s">
        <v>324</v>
      </c>
      <c r="M195" s="25">
        <f>10732.30361</f>
        <v>10732.303610000001</v>
      </c>
      <c r="N195" s="25">
        <f>10691.20978</f>
        <v>10691.209779999999</v>
      </c>
      <c r="O195" s="25">
        <v>10193.5</v>
      </c>
      <c r="P195" s="25">
        <v>10193.5</v>
      </c>
      <c r="Q195" s="25">
        <v>10193.5</v>
      </c>
      <c r="R195" s="25">
        <v>10193.5</v>
      </c>
      <c r="S195" s="25"/>
    </row>
    <row r="196" spans="1:19" ht="89.25" customHeight="1" x14ac:dyDescent="0.2">
      <c r="A196" s="113" t="s">
        <v>0</v>
      </c>
      <c r="B196" s="114" t="s">
        <v>0</v>
      </c>
      <c r="C196" s="54" t="s">
        <v>30</v>
      </c>
      <c r="D196" s="54" t="s">
        <v>170</v>
      </c>
      <c r="E196" s="54" t="s">
        <v>32</v>
      </c>
      <c r="F196" s="54" t="s">
        <v>0</v>
      </c>
      <c r="G196" s="54" t="s">
        <v>0</v>
      </c>
      <c r="H196" s="54" t="s">
        <v>0</v>
      </c>
      <c r="I196" s="54" t="s">
        <v>0</v>
      </c>
      <c r="J196" s="54" t="s">
        <v>0</v>
      </c>
      <c r="K196" s="54" t="s">
        <v>0</v>
      </c>
      <c r="L196" s="55" t="s">
        <v>0</v>
      </c>
      <c r="M196" s="25"/>
      <c r="N196" s="25"/>
      <c r="O196" s="25"/>
      <c r="P196" s="25"/>
      <c r="Q196" s="25"/>
      <c r="R196" s="25"/>
      <c r="S196" s="25"/>
    </row>
    <row r="197" spans="1:19" ht="87.75" customHeight="1" x14ac:dyDescent="0.2">
      <c r="A197" s="113" t="s">
        <v>175</v>
      </c>
      <c r="B197" s="114" t="s">
        <v>603</v>
      </c>
      <c r="C197" s="54" t="s">
        <v>30</v>
      </c>
      <c r="D197" s="54" t="s">
        <v>167</v>
      </c>
      <c r="E197" s="54" t="s">
        <v>32</v>
      </c>
      <c r="F197" s="54" t="s">
        <v>0</v>
      </c>
      <c r="G197" s="54" t="s">
        <v>0</v>
      </c>
      <c r="H197" s="54" t="s">
        <v>0</v>
      </c>
      <c r="I197" s="54" t="s">
        <v>0</v>
      </c>
      <c r="J197" s="54" t="s">
        <v>0</v>
      </c>
      <c r="K197" s="54" t="s">
        <v>0</v>
      </c>
      <c r="L197" s="55" t="s">
        <v>177</v>
      </c>
      <c r="M197" s="25">
        <v>0.23344000000000001</v>
      </c>
      <c r="N197" s="25">
        <v>0.22344</v>
      </c>
      <c r="O197" s="25">
        <v>0</v>
      </c>
      <c r="P197" s="25">
        <v>0</v>
      </c>
      <c r="Q197" s="25">
        <v>0</v>
      </c>
      <c r="R197" s="25">
        <v>0</v>
      </c>
      <c r="S197" s="25"/>
    </row>
    <row r="198" spans="1:19" ht="85.5" customHeight="1" x14ac:dyDescent="0.2">
      <c r="A198" s="113" t="s">
        <v>0</v>
      </c>
      <c r="B198" s="114" t="s">
        <v>0</v>
      </c>
      <c r="C198" s="54" t="s">
        <v>30</v>
      </c>
      <c r="D198" s="54" t="s">
        <v>178</v>
      </c>
      <c r="E198" s="54" t="s">
        <v>32</v>
      </c>
      <c r="F198" s="54" t="s">
        <v>0</v>
      </c>
      <c r="G198" s="54" t="s">
        <v>0</v>
      </c>
      <c r="H198" s="54" t="s">
        <v>0</v>
      </c>
      <c r="I198" s="54" t="s">
        <v>0</v>
      </c>
      <c r="J198" s="54" t="s">
        <v>0</v>
      </c>
      <c r="K198" s="54" t="s">
        <v>0</v>
      </c>
      <c r="L198" s="55" t="s">
        <v>0</v>
      </c>
      <c r="M198" s="25"/>
      <c r="N198" s="25"/>
      <c r="O198" s="25"/>
      <c r="P198" s="25"/>
      <c r="Q198" s="25"/>
      <c r="R198" s="25"/>
      <c r="S198" s="25"/>
    </row>
    <row r="199" spans="1:19" ht="48" x14ac:dyDescent="0.2">
      <c r="A199" s="85" t="s">
        <v>604</v>
      </c>
      <c r="B199" s="114" t="s">
        <v>605</v>
      </c>
      <c r="C199" s="54" t="s">
        <v>118</v>
      </c>
      <c r="D199" s="54" t="s">
        <v>181</v>
      </c>
      <c r="E199" s="54" t="s">
        <v>120</v>
      </c>
      <c r="F199" s="54" t="s">
        <v>0</v>
      </c>
      <c r="G199" s="54" t="s">
        <v>0</v>
      </c>
      <c r="H199" s="54" t="s">
        <v>0</v>
      </c>
      <c r="I199" s="54" t="s">
        <v>0</v>
      </c>
      <c r="J199" s="54" t="s">
        <v>0</v>
      </c>
      <c r="K199" s="54" t="s">
        <v>0</v>
      </c>
      <c r="L199" s="55" t="s">
        <v>36</v>
      </c>
      <c r="M199" s="25">
        <v>1756.87</v>
      </c>
      <c r="N199" s="25">
        <v>1552.9763800000001</v>
      </c>
      <c r="O199" s="25">
        <v>1770.6</v>
      </c>
      <c r="P199" s="25">
        <v>1444</v>
      </c>
      <c r="Q199" s="25">
        <v>1444</v>
      </c>
      <c r="R199" s="25">
        <v>1444</v>
      </c>
      <c r="S199" s="25"/>
    </row>
    <row r="200" spans="1:19" ht="91.5" customHeight="1" x14ac:dyDescent="0.2">
      <c r="A200" s="113" t="s">
        <v>0</v>
      </c>
      <c r="B200" s="114" t="s">
        <v>0</v>
      </c>
      <c r="C200" s="54" t="s">
        <v>30</v>
      </c>
      <c r="D200" s="54" t="s">
        <v>185</v>
      </c>
      <c r="E200" s="54" t="s">
        <v>32</v>
      </c>
      <c r="F200" s="54" t="s">
        <v>0</v>
      </c>
      <c r="G200" s="54" t="s">
        <v>0</v>
      </c>
      <c r="H200" s="54" t="s">
        <v>0</v>
      </c>
      <c r="I200" s="54" t="s">
        <v>0</v>
      </c>
      <c r="J200" s="54" t="s">
        <v>0</v>
      </c>
      <c r="K200" s="54" t="s">
        <v>0</v>
      </c>
      <c r="L200" s="55" t="s">
        <v>0</v>
      </c>
      <c r="M200" s="25"/>
      <c r="N200" s="25"/>
      <c r="O200" s="25"/>
      <c r="P200" s="25"/>
      <c r="Q200" s="25"/>
      <c r="R200" s="25"/>
      <c r="S200" s="25"/>
    </row>
    <row r="201" spans="1:19" ht="132" x14ac:dyDescent="0.2">
      <c r="A201" s="113" t="s">
        <v>211</v>
      </c>
      <c r="B201" s="114" t="s">
        <v>606</v>
      </c>
      <c r="C201" s="54" t="s">
        <v>213</v>
      </c>
      <c r="D201" s="54" t="s">
        <v>214</v>
      </c>
      <c r="E201" s="54" t="s">
        <v>215</v>
      </c>
      <c r="F201" s="54" t="s">
        <v>0</v>
      </c>
      <c r="G201" s="54" t="s">
        <v>0</v>
      </c>
      <c r="H201" s="54" t="s">
        <v>0</v>
      </c>
      <c r="I201" s="54" t="s">
        <v>0</v>
      </c>
      <c r="J201" s="54" t="s">
        <v>0</v>
      </c>
      <c r="K201" s="54" t="s">
        <v>0</v>
      </c>
      <c r="L201" s="56" t="s">
        <v>400</v>
      </c>
      <c r="M201" s="25">
        <v>800</v>
      </c>
      <c r="N201" s="25">
        <v>778.74549999999999</v>
      </c>
      <c r="O201" s="25">
        <f>1184.03713+1500</f>
        <v>2684.0371299999997</v>
      </c>
      <c r="P201" s="25">
        <f>1000</f>
        <v>1000</v>
      </c>
      <c r="Q201" s="25">
        <f>1000</f>
        <v>1000</v>
      </c>
      <c r="R201" s="25">
        <f>1000</f>
        <v>1000</v>
      </c>
      <c r="S201" s="25"/>
    </row>
    <row r="202" spans="1:19" ht="84" x14ac:dyDescent="0.2">
      <c r="A202" s="113" t="s">
        <v>0</v>
      </c>
      <c r="B202" s="114" t="s">
        <v>0</v>
      </c>
      <c r="C202" s="54" t="s">
        <v>30</v>
      </c>
      <c r="D202" s="54" t="s">
        <v>607</v>
      </c>
      <c r="E202" s="54" t="s">
        <v>32</v>
      </c>
      <c r="F202" s="54" t="s">
        <v>0</v>
      </c>
      <c r="G202" s="54" t="s">
        <v>0</v>
      </c>
      <c r="H202" s="54" t="s">
        <v>0</v>
      </c>
      <c r="I202" s="54" t="s">
        <v>0</v>
      </c>
      <c r="J202" s="54" t="s">
        <v>0</v>
      </c>
      <c r="K202" s="54" t="s">
        <v>0</v>
      </c>
      <c r="L202" s="55" t="s">
        <v>0</v>
      </c>
      <c r="M202" s="25"/>
      <c r="N202" s="25"/>
      <c r="O202" s="25"/>
      <c r="P202" s="25"/>
      <c r="Q202" s="25"/>
      <c r="R202" s="25"/>
      <c r="S202" s="25"/>
    </row>
    <row r="203" spans="1:19" ht="96" x14ac:dyDescent="0.2">
      <c r="A203" s="113" t="s">
        <v>217</v>
      </c>
      <c r="B203" s="114" t="s">
        <v>608</v>
      </c>
      <c r="C203" s="54" t="s">
        <v>172</v>
      </c>
      <c r="D203" s="54" t="s">
        <v>173</v>
      </c>
      <c r="E203" s="54" t="s">
        <v>174</v>
      </c>
      <c r="F203" s="54" t="s">
        <v>219</v>
      </c>
      <c r="G203" s="54" t="s">
        <v>220</v>
      </c>
      <c r="H203" s="54" t="s">
        <v>125</v>
      </c>
      <c r="I203" s="54" t="s">
        <v>0</v>
      </c>
      <c r="J203" s="54" t="s">
        <v>0</v>
      </c>
      <c r="K203" s="54" t="s">
        <v>0</v>
      </c>
      <c r="L203" s="55" t="s">
        <v>221</v>
      </c>
      <c r="M203" s="25">
        <v>496.5</v>
      </c>
      <c r="N203" s="25">
        <v>481.56398999999999</v>
      </c>
      <c r="O203" s="25">
        <v>522.5</v>
      </c>
      <c r="P203" s="25">
        <v>528.6</v>
      </c>
      <c r="Q203" s="25">
        <v>534.79999999999995</v>
      </c>
      <c r="R203" s="25">
        <v>541</v>
      </c>
      <c r="S203" s="25"/>
    </row>
    <row r="204" spans="1:19" ht="84" x14ac:dyDescent="0.2">
      <c r="A204" s="113" t="s">
        <v>0</v>
      </c>
      <c r="B204" s="114" t="s">
        <v>0</v>
      </c>
      <c r="C204" s="54" t="s">
        <v>30</v>
      </c>
      <c r="D204" s="54" t="s">
        <v>178</v>
      </c>
      <c r="E204" s="54" t="s">
        <v>32</v>
      </c>
      <c r="F204" s="54" t="s">
        <v>0</v>
      </c>
      <c r="G204" s="54" t="s">
        <v>0</v>
      </c>
      <c r="H204" s="54" t="s">
        <v>0</v>
      </c>
      <c r="I204" s="54" t="s">
        <v>0</v>
      </c>
      <c r="J204" s="54" t="s">
        <v>0</v>
      </c>
      <c r="K204" s="54" t="s">
        <v>0</v>
      </c>
      <c r="L204" s="55" t="s">
        <v>0</v>
      </c>
      <c r="M204" s="25"/>
      <c r="N204" s="25"/>
      <c r="O204" s="25"/>
      <c r="P204" s="25"/>
      <c r="Q204" s="25"/>
      <c r="R204" s="25"/>
      <c r="S204" s="25"/>
    </row>
    <row r="205" spans="1:19" ht="81" customHeight="1" x14ac:dyDescent="0.2">
      <c r="A205" s="53" t="s">
        <v>609</v>
      </c>
      <c r="B205" s="54" t="s">
        <v>610</v>
      </c>
      <c r="C205" s="54" t="s">
        <v>0</v>
      </c>
      <c r="D205" s="54" t="s">
        <v>0</v>
      </c>
      <c r="E205" s="54" t="s">
        <v>0</v>
      </c>
      <c r="F205" s="54" t="s">
        <v>0</v>
      </c>
      <c r="G205" s="54" t="s">
        <v>0</v>
      </c>
      <c r="H205" s="54" t="s">
        <v>0</v>
      </c>
      <c r="I205" s="54" t="s">
        <v>0</v>
      </c>
      <c r="J205" s="54" t="s">
        <v>0</v>
      </c>
      <c r="K205" s="54" t="s">
        <v>0</v>
      </c>
      <c r="L205" s="55" t="s">
        <v>611</v>
      </c>
      <c r="M205" s="25">
        <f>M206+M208</f>
        <v>10</v>
      </c>
      <c r="N205" s="25">
        <f t="shared" ref="N205:R205" si="24">N206+N208</f>
        <v>10</v>
      </c>
      <c r="O205" s="25">
        <f t="shared" si="24"/>
        <v>170.1397</v>
      </c>
      <c r="P205" s="25">
        <f t="shared" si="24"/>
        <v>180</v>
      </c>
      <c r="Q205" s="25">
        <f t="shared" si="24"/>
        <v>180</v>
      </c>
      <c r="R205" s="25">
        <f t="shared" si="24"/>
        <v>180</v>
      </c>
      <c r="S205" s="25"/>
    </row>
    <row r="206" spans="1:19" ht="63.75" customHeight="1" x14ac:dyDescent="0.2">
      <c r="A206" s="53" t="s">
        <v>232</v>
      </c>
      <c r="B206" s="54" t="s">
        <v>612</v>
      </c>
      <c r="C206" s="54" t="s">
        <v>0</v>
      </c>
      <c r="D206" s="54" t="s">
        <v>0</v>
      </c>
      <c r="E206" s="54" t="s">
        <v>0</v>
      </c>
      <c r="F206" s="54" t="s">
        <v>0</v>
      </c>
      <c r="G206" s="54" t="s">
        <v>0</v>
      </c>
      <c r="H206" s="54" t="s">
        <v>0</v>
      </c>
      <c r="I206" s="54" t="s">
        <v>0</v>
      </c>
      <c r="J206" s="54" t="s">
        <v>0</v>
      </c>
      <c r="K206" s="54" t="s">
        <v>0</v>
      </c>
      <c r="L206" s="55" t="s">
        <v>147</v>
      </c>
      <c r="M206" s="25">
        <f>M207</f>
        <v>10</v>
      </c>
      <c r="N206" s="25">
        <f t="shared" ref="N206:R206" si="25">N207</f>
        <v>10</v>
      </c>
      <c r="O206" s="25">
        <f t="shared" si="25"/>
        <v>40.700000000000003</v>
      </c>
      <c r="P206" s="25">
        <f t="shared" si="25"/>
        <v>50</v>
      </c>
      <c r="Q206" s="25">
        <f t="shared" si="25"/>
        <v>50</v>
      </c>
      <c r="R206" s="25">
        <f t="shared" si="25"/>
        <v>50</v>
      </c>
      <c r="S206" s="25"/>
    </row>
    <row r="207" spans="1:19" ht="90" customHeight="1" x14ac:dyDescent="0.2">
      <c r="A207" s="53" t="s">
        <v>640</v>
      </c>
      <c r="B207" s="54" t="s">
        <v>613</v>
      </c>
      <c r="C207" s="54" t="s">
        <v>30</v>
      </c>
      <c r="D207" s="54" t="s">
        <v>236</v>
      </c>
      <c r="E207" s="54" t="s">
        <v>32</v>
      </c>
      <c r="F207" s="54" t="s">
        <v>0</v>
      </c>
      <c r="G207" s="54" t="s">
        <v>0</v>
      </c>
      <c r="H207" s="54" t="s">
        <v>0</v>
      </c>
      <c r="I207" s="54" t="s">
        <v>0</v>
      </c>
      <c r="J207" s="54" t="s">
        <v>0</v>
      </c>
      <c r="K207" s="54" t="s">
        <v>0</v>
      </c>
      <c r="L207" s="55" t="s">
        <v>147</v>
      </c>
      <c r="M207" s="25">
        <v>10</v>
      </c>
      <c r="N207" s="25">
        <v>10</v>
      </c>
      <c r="O207" s="25">
        <v>40.700000000000003</v>
      </c>
      <c r="P207" s="25">
        <v>50</v>
      </c>
      <c r="Q207" s="25">
        <v>50</v>
      </c>
      <c r="R207" s="25">
        <v>50</v>
      </c>
      <c r="S207" s="25"/>
    </row>
    <row r="208" spans="1:19" ht="61.5" customHeight="1" x14ac:dyDescent="0.2">
      <c r="A208" s="53" t="s">
        <v>239</v>
      </c>
      <c r="B208" s="54" t="s">
        <v>614</v>
      </c>
      <c r="C208" s="54" t="s">
        <v>0</v>
      </c>
      <c r="D208" s="54" t="s">
        <v>0</v>
      </c>
      <c r="E208" s="54" t="s">
        <v>0</v>
      </c>
      <c r="F208" s="54" t="s">
        <v>0</v>
      </c>
      <c r="G208" s="54" t="s">
        <v>0</v>
      </c>
      <c r="H208" s="54" t="s">
        <v>0</v>
      </c>
      <c r="I208" s="54" t="s">
        <v>0</v>
      </c>
      <c r="J208" s="54" t="s">
        <v>0</v>
      </c>
      <c r="K208" s="54" t="s">
        <v>0</v>
      </c>
      <c r="L208" s="55" t="s">
        <v>248</v>
      </c>
      <c r="M208" s="25">
        <f>M209</f>
        <v>0</v>
      </c>
      <c r="N208" s="25">
        <f t="shared" ref="N208:R208" si="26">N209</f>
        <v>0</v>
      </c>
      <c r="O208" s="25">
        <f t="shared" si="26"/>
        <v>129.43969999999999</v>
      </c>
      <c r="P208" s="25">
        <f t="shared" si="26"/>
        <v>130</v>
      </c>
      <c r="Q208" s="25">
        <f t="shared" si="26"/>
        <v>130</v>
      </c>
      <c r="R208" s="25">
        <f t="shared" si="26"/>
        <v>130</v>
      </c>
      <c r="S208" s="25"/>
    </row>
    <row r="209" spans="1:19" ht="87" customHeight="1" x14ac:dyDescent="0.2">
      <c r="A209" s="53" t="s">
        <v>246</v>
      </c>
      <c r="B209" s="54" t="s">
        <v>615</v>
      </c>
      <c r="C209" s="54" t="s">
        <v>30</v>
      </c>
      <c r="D209" s="54" t="s">
        <v>616</v>
      </c>
      <c r="E209" s="54" t="s">
        <v>32</v>
      </c>
      <c r="F209" s="54" t="s">
        <v>0</v>
      </c>
      <c r="G209" s="54" t="s">
        <v>0</v>
      </c>
      <c r="H209" s="54" t="s">
        <v>0</v>
      </c>
      <c r="I209" s="54" t="s">
        <v>0</v>
      </c>
      <c r="J209" s="54" t="s">
        <v>0</v>
      </c>
      <c r="K209" s="54" t="s">
        <v>0</v>
      </c>
      <c r="L209" s="55" t="s">
        <v>248</v>
      </c>
      <c r="M209" s="25">
        <v>0</v>
      </c>
      <c r="N209" s="25">
        <v>0</v>
      </c>
      <c r="O209" s="25">
        <v>129.43969999999999</v>
      </c>
      <c r="P209" s="25">
        <v>130</v>
      </c>
      <c r="Q209" s="25">
        <v>130</v>
      </c>
      <c r="R209" s="25">
        <v>130</v>
      </c>
      <c r="S209" s="25"/>
    </row>
    <row r="210" spans="1:19" ht="90.75" customHeight="1" x14ac:dyDescent="0.2">
      <c r="A210" s="53" t="s">
        <v>617</v>
      </c>
      <c r="B210" s="54" t="s">
        <v>618</v>
      </c>
      <c r="C210" s="54" t="s">
        <v>0</v>
      </c>
      <c r="D210" s="54" t="s">
        <v>0</v>
      </c>
      <c r="E210" s="54" t="s">
        <v>0</v>
      </c>
      <c r="F210" s="54" t="s">
        <v>0</v>
      </c>
      <c r="G210" s="54" t="s">
        <v>0</v>
      </c>
      <c r="H210" s="54" t="s">
        <v>0</v>
      </c>
      <c r="I210" s="54" t="s">
        <v>0</v>
      </c>
      <c r="J210" s="54" t="s">
        <v>0</v>
      </c>
      <c r="K210" s="54" t="s">
        <v>0</v>
      </c>
      <c r="L210" s="55" t="s">
        <v>619</v>
      </c>
      <c r="M210" s="25">
        <f>M211+M213</f>
        <v>679.80000000000007</v>
      </c>
      <c r="N210" s="25">
        <f t="shared" ref="N210:R210" si="27">N211+N213</f>
        <v>673.7</v>
      </c>
      <c r="O210" s="25">
        <f t="shared" si="27"/>
        <v>720.4</v>
      </c>
      <c r="P210" s="25">
        <f t="shared" si="27"/>
        <v>733.5</v>
      </c>
      <c r="Q210" s="25">
        <f>Q211+Q213</f>
        <v>775.7</v>
      </c>
      <c r="R210" s="25">
        <f t="shared" si="27"/>
        <v>814.2</v>
      </c>
      <c r="S210" s="25"/>
    </row>
    <row r="211" spans="1:19" ht="24" x14ac:dyDescent="0.2">
      <c r="A211" s="53" t="s">
        <v>252</v>
      </c>
      <c r="B211" s="54" t="s">
        <v>620</v>
      </c>
      <c r="C211" s="54" t="s">
        <v>0</v>
      </c>
      <c r="D211" s="54" t="s">
        <v>0</v>
      </c>
      <c r="E211" s="54" t="s">
        <v>0</v>
      </c>
      <c r="F211" s="54" t="s">
        <v>0</v>
      </c>
      <c r="G211" s="54" t="s">
        <v>0</v>
      </c>
      <c r="H211" s="54" t="s">
        <v>0</v>
      </c>
      <c r="I211" s="54" t="s">
        <v>0</v>
      </c>
      <c r="J211" s="54" t="s">
        <v>0</v>
      </c>
      <c r="K211" s="54" t="s">
        <v>0</v>
      </c>
      <c r="L211" s="55" t="s">
        <v>621</v>
      </c>
      <c r="M211" s="25">
        <f>M212</f>
        <v>673.7</v>
      </c>
      <c r="N211" s="25">
        <f t="shared" ref="N211:R211" si="28">N212</f>
        <v>673.7</v>
      </c>
      <c r="O211" s="25">
        <f t="shared" si="28"/>
        <v>713.8</v>
      </c>
      <c r="P211" s="25">
        <f t="shared" si="28"/>
        <v>726.9</v>
      </c>
      <c r="Q211" s="25">
        <f t="shared" si="28"/>
        <v>769.1</v>
      </c>
      <c r="R211" s="25">
        <f t="shared" si="28"/>
        <v>807.6</v>
      </c>
      <c r="S211" s="25"/>
    </row>
    <row r="212" spans="1:19" ht="409.5" x14ac:dyDescent="0.2">
      <c r="A212" s="53" t="s">
        <v>622</v>
      </c>
      <c r="B212" s="54" t="s">
        <v>623</v>
      </c>
      <c r="C212" s="54" t="s">
        <v>624</v>
      </c>
      <c r="D212" s="54" t="s">
        <v>105</v>
      </c>
      <c r="E212" s="54" t="s">
        <v>625</v>
      </c>
      <c r="F212" s="54" t="s">
        <v>626</v>
      </c>
      <c r="G212" s="54" t="s">
        <v>34</v>
      </c>
      <c r="H212" s="54" t="s">
        <v>627</v>
      </c>
      <c r="I212" s="54" t="s">
        <v>0</v>
      </c>
      <c r="J212" s="54" t="s">
        <v>0</v>
      </c>
      <c r="K212" s="54" t="s">
        <v>0</v>
      </c>
      <c r="L212" s="55" t="s">
        <v>621</v>
      </c>
      <c r="M212" s="25">
        <v>673.7</v>
      </c>
      <c r="N212" s="25">
        <v>673.7</v>
      </c>
      <c r="O212" s="25">
        <v>713.8</v>
      </c>
      <c r="P212" s="25">
        <v>726.9</v>
      </c>
      <c r="Q212" s="25">
        <v>769.1</v>
      </c>
      <c r="R212" s="25">
        <v>807.6</v>
      </c>
      <c r="S212" s="25"/>
    </row>
    <row r="213" spans="1:19" ht="24" x14ac:dyDescent="0.2">
      <c r="A213" s="53" t="s">
        <v>275</v>
      </c>
      <c r="B213" s="54" t="s">
        <v>628</v>
      </c>
      <c r="C213" s="54" t="s">
        <v>0</v>
      </c>
      <c r="D213" s="54" t="s">
        <v>0</v>
      </c>
      <c r="E213" s="54" t="s">
        <v>0</v>
      </c>
      <c r="F213" s="54" t="s">
        <v>0</v>
      </c>
      <c r="G213" s="54" t="s">
        <v>0</v>
      </c>
      <c r="H213" s="54" t="s">
        <v>0</v>
      </c>
      <c r="I213" s="54" t="s">
        <v>0</v>
      </c>
      <c r="J213" s="54" t="s">
        <v>0</v>
      </c>
      <c r="K213" s="54" t="s">
        <v>0</v>
      </c>
      <c r="L213" s="55" t="s">
        <v>324</v>
      </c>
      <c r="M213" s="25">
        <f>M214</f>
        <v>6.1</v>
      </c>
      <c r="N213" s="25">
        <f t="shared" ref="N213:R213" si="29">N214</f>
        <v>0</v>
      </c>
      <c r="O213" s="25">
        <f t="shared" si="29"/>
        <v>6.6</v>
      </c>
      <c r="P213" s="25">
        <f t="shared" si="29"/>
        <v>6.6</v>
      </c>
      <c r="Q213" s="25">
        <f t="shared" si="29"/>
        <v>6.6</v>
      </c>
      <c r="R213" s="25">
        <f t="shared" si="29"/>
        <v>6.6</v>
      </c>
      <c r="S213" s="25"/>
    </row>
    <row r="214" spans="1:19" ht="201.75" customHeight="1" x14ac:dyDescent="0.2">
      <c r="A214" s="53" t="s">
        <v>317</v>
      </c>
      <c r="B214" s="54" t="s">
        <v>629</v>
      </c>
      <c r="C214" s="54" t="s">
        <v>0</v>
      </c>
      <c r="D214" s="54" t="s">
        <v>0</v>
      </c>
      <c r="E214" s="54" t="s">
        <v>0</v>
      </c>
      <c r="F214" s="54" t="s">
        <v>319</v>
      </c>
      <c r="G214" s="54" t="s">
        <v>630</v>
      </c>
      <c r="H214" s="54" t="s">
        <v>321</v>
      </c>
      <c r="I214" s="54" t="s">
        <v>322</v>
      </c>
      <c r="J214" s="54" t="s">
        <v>34</v>
      </c>
      <c r="K214" s="54" t="s">
        <v>323</v>
      </c>
      <c r="L214" s="55" t="s">
        <v>324</v>
      </c>
      <c r="M214" s="25">
        <v>6.1</v>
      </c>
      <c r="N214" s="25">
        <v>0</v>
      </c>
      <c r="O214" s="25">
        <v>6.6</v>
      </c>
      <c r="P214" s="25">
        <v>6.6</v>
      </c>
      <c r="Q214" s="25">
        <v>6.6</v>
      </c>
      <c r="R214" s="25">
        <v>6.6</v>
      </c>
      <c r="S214" s="25"/>
    </row>
    <row r="215" spans="1:19" ht="77.25" customHeight="1" x14ac:dyDescent="0.2">
      <c r="A215" s="53" t="s">
        <v>631</v>
      </c>
      <c r="B215" s="54" t="s">
        <v>632</v>
      </c>
      <c r="C215" s="54" t="s">
        <v>0</v>
      </c>
      <c r="D215" s="54" t="s">
        <v>0</v>
      </c>
      <c r="E215" s="54" t="s">
        <v>0</v>
      </c>
      <c r="F215" s="54" t="s">
        <v>0</v>
      </c>
      <c r="G215" s="54" t="s">
        <v>0</v>
      </c>
      <c r="H215" s="54" t="s">
        <v>0</v>
      </c>
      <c r="I215" s="54" t="s">
        <v>0</v>
      </c>
      <c r="J215" s="54" t="s">
        <v>0</v>
      </c>
      <c r="K215" s="54" t="s">
        <v>0</v>
      </c>
      <c r="L215" s="56" t="s">
        <v>160</v>
      </c>
      <c r="M215" s="25">
        <f>M216</f>
        <v>31.770209999999999</v>
      </c>
      <c r="N215" s="25">
        <f t="shared" ref="N215:R217" si="30">N216</f>
        <v>31.770209999999999</v>
      </c>
      <c r="O215" s="25">
        <f t="shared" si="30"/>
        <v>481.93133</v>
      </c>
      <c r="P215" s="25">
        <f t="shared" si="30"/>
        <v>277.61968999999999</v>
      </c>
      <c r="Q215" s="25">
        <f t="shared" si="30"/>
        <v>0</v>
      </c>
      <c r="R215" s="25">
        <f t="shared" si="30"/>
        <v>0</v>
      </c>
      <c r="S215" s="25"/>
    </row>
    <row r="216" spans="1:19" ht="14.25" customHeight="1" x14ac:dyDescent="0.2">
      <c r="A216" s="53" t="s">
        <v>391</v>
      </c>
      <c r="B216" s="54" t="s">
        <v>633</v>
      </c>
      <c r="C216" s="54" t="s">
        <v>0</v>
      </c>
      <c r="D216" s="54" t="s">
        <v>0</v>
      </c>
      <c r="E216" s="54" t="s">
        <v>0</v>
      </c>
      <c r="F216" s="54" t="s">
        <v>0</v>
      </c>
      <c r="G216" s="54" t="s">
        <v>0</v>
      </c>
      <c r="H216" s="54" t="s">
        <v>0</v>
      </c>
      <c r="I216" s="54" t="s">
        <v>0</v>
      </c>
      <c r="J216" s="54" t="s">
        <v>0</v>
      </c>
      <c r="K216" s="54" t="s">
        <v>0</v>
      </c>
      <c r="L216" s="56" t="s">
        <v>160</v>
      </c>
      <c r="M216" s="25">
        <f>M217</f>
        <v>31.770209999999999</v>
      </c>
      <c r="N216" s="25">
        <f t="shared" si="30"/>
        <v>31.770209999999999</v>
      </c>
      <c r="O216" s="25">
        <f t="shared" si="30"/>
        <v>481.93133</v>
      </c>
      <c r="P216" s="25">
        <f t="shared" si="30"/>
        <v>277.61968999999999</v>
      </c>
      <c r="Q216" s="25">
        <f t="shared" si="30"/>
        <v>0</v>
      </c>
      <c r="R216" s="25">
        <f t="shared" si="30"/>
        <v>0</v>
      </c>
      <c r="S216" s="25"/>
    </row>
    <row r="217" spans="1:19" ht="60" x14ac:dyDescent="0.2">
      <c r="A217" s="53" t="s">
        <v>634</v>
      </c>
      <c r="B217" s="54" t="s">
        <v>635</v>
      </c>
      <c r="C217" s="54" t="s">
        <v>0</v>
      </c>
      <c r="D217" s="54" t="s">
        <v>0</v>
      </c>
      <c r="E217" s="54" t="s">
        <v>0</v>
      </c>
      <c r="F217" s="54" t="s">
        <v>0</v>
      </c>
      <c r="G217" s="54" t="s">
        <v>0</v>
      </c>
      <c r="H217" s="54" t="s">
        <v>0</v>
      </c>
      <c r="I217" s="54" t="s">
        <v>0</v>
      </c>
      <c r="J217" s="54" t="s">
        <v>0</v>
      </c>
      <c r="K217" s="54" t="s">
        <v>0</v>
      </c>
      <c r="L217" s="56" t="s">
        <v>160</v>
      </c>
      <c r="M217" s="25">
        <f>M218</f>
        <v>31.770209999999999</v>
      </c>
      <c r="N217" s="25">
        <f t="shared" si="30"/>
        <v>31.770209999999999</v>
      </c>
      <c r="O217" s="25">
        <f t="shared" si="30"/>
        <v>481.93133</v>
      </c>
      <c r="P217" s="25">
        <f t="shared" si="30"/>
        <v>277.61968999999999</v>
      </c>
      <c r="Q217" s="25">
        <f t="shared" si="30"/>
        <v>0</v>
      </c>
      <c r="R217" s="25">
        <f t="shared" si="30"/>
        <v>0</v>
      </c>
      <c r="S217" s="25"/>
    </row>
    <row r="218" spans="1:19" ht="87.75" customHeight="1" x14ac:dyDescent="0.2">
      <c r="A218" s="53" t="s">
        <v>636</v>
      </c>
      <c r="B218" s="54" t="s">
        <v>637</v>
      </c>
      <c r="C218" s="54" t="s">
        <v>30</v>
      </c>
      <c r="D218" s="54" t="s">
        <v>156</v>
      </c>
      <c r="E218" s="54" t="s">
        <v>32</v>
      </c>
      <c r="F218" s="54" t="s">
        <v>388</v>
      </c>
      <c r="G218" s="54" t="s">
        <v>395</v>
      </c>
      <c r="H218" s="54" t="s">
        <v>389</v>
      </c>
      <c r="I218" s="54" t="s">
        <v>0</v>
      </c>
      <c r="J218" s="54" t="s">
        <v>0</v>
      </c>
      <c r="K218" s="54" t="s">
        <v>0</v>
      </c>
      <c r="L218" s="55" t="s">
        <v>160</v>
      </c>
      <c r="M218" s="25">
        <v>31.770209999999999</v>
      </c>
      <c r="N218" s="25">
        <v>31.770209999999999</v>
      </c>
      <c r="O218" s="25">
        <v>481.93133</v>
      </c>
      <c r="P218" s="25">
        <v>277.61968999999999</v>
      </c>
      <c r="Q218" s="25">
        <v>0</v>
      </c>
      <c r="R218" s="25">
        <v>0</v>
      </c>
      <c r="S218" s="25"/>
    </row>
    <row r="219" spans="1:19" ht="36" x14ac:dyDescent="0.2">
      <c r="A219" s="53" t="s">
        <v>638</v>
      </c>
      <c r="B219" s="54" t="s">
        <v>639</v>
      </c>
      <c r="C219" s="54" t="s">
        <v>0</v>
      </c>
      <c r="D219" s="54" t="s">
        <v>0</v>
      </c>
      <c r="E219" s="54" t="s">
        <v>0</v>
      </c>
      <c r="F219" s="54" t="s">
        <v>0</v>
      </c>
      <c r="G219" s="54" t="s">
        <v>0</v>
      </c>
      <c r="H219" s="54" t="s">
        <v>0</v>
      </c>
      <c r="I219" s="54" t="s">
        <v>0</v>
      </c>
      <c r="J219" s="54" t="s">
        <v>0</v>
      </c>
      <c r="K219" s="54" t="s">
        <v>0</v>
      </c>
      <c r="L219" s="55" t="s">
        <v>403</v>
      </c>
      <c r="M219" s="25">
        <v>0</v>
      </c>
      <c r="N219" s="25">
        <v>0</v>
      </c>
      <c r="O219" s="25">
        <v>0</v>
      </c>
      <c r="P219" s="25">
        <v>2780.1</v>
      </c>
      <c r="Q219" s="25">
        <v>4463.2</v>
      </c>
      <c r="R219" s="25">
        <v>0</v>
      </c>
      <c r="S219" s="25"/>
    </row>
    <row r="220" spans="1:19" ht="72" x14ac:dyDescent="0.2">
      <c r="A220" s="63" t="s">
        <v>650</v>
      </c>
      <c r="B220" s="62" t="s">
        <v>651</v>
      </c>
      <c r="C220" s="62" t="s">
        <v>0</v>
      </c>
      <c r="D220" s="62" t="s">
        <v>0</v>
      </c>
      <c r="E220" s="62" t="s">
        <v>0</v>
      </c>
      <c r="F220" s="62" t="s">
        <v>0</v>
      </c>
      <c r="G220" s="62" t="s">
        <v>0</v>
      </c>
      <c r="H220" s="56" t="s">
        <v>0</v>
      </c>
      <c r="I220" s="64"/>
      <c r="J220" s="64"/>
      <c r="K220" s="64"/>
      <c r="L220" s="62" t="s">
        <v>652</v>
      </c>
      <c r="M220" s="65">
        <f t="shared" ref="M220:R220" si="31">M221+M247+M258+M261+M266+M270</f>
        <v>33356.9</v>
      </c>
      <c r="N220" s="65">
        <f t="shared" si="31"/>
        <v>30919.599999999999</v>
      </c>
      <c r="O220" s="65">
        <f t="shared" si="31"/>
        <v>15958</v>
      </c>
      <c r="P220" s="65">
        <f t="shared" si="31"/>
        <v>14130.999999999998</v>
      </c>
      <c r="Q220" s="65">
        <f t="shared" si="31"/>
        <v>14133.699999999999</v>
      </c>
      <c r="R220" s="65">
        <f t="shared" si="31"/>
        <v>16592.500000000004</v>
      </c>
      <c r="S220" s="64"/>
    </row>
    <row r="221" spans="1:19" ht="48" x14ac:dyDescent="0.2">
      <c r="A221" s="63" t="s">
        <v>653</v>
      </c>
      <c r="B221" s="62" t="s">
        <v>654</v>
      </c>
      <c r="C221" s="62" t="s">
        <v>0</v>
      </c>
      <c r="D221" s="62" t="s">
        <v>0</v>
      </c>
      <c r="E221" s="62" t="s">
        <v>0</v>
      </c>
      <c r="F221" s="62" t="s">
        <v>0</v>
      </c>
      <c r="G221" s="62" t="s">
        <v>0</v>
      </c>
      <c r="H221" s="56" t="s">
        <v>0</v>
      </c>
      <c r="I221" s="64"/>
      <c r="J221" s="64"/>
      <c r="K221" s="64"/>
      <c r="L221" s="62" t="s">
        <v>655</v>
      </c>
      <c r="M221" s="65">
        <f>M222+M227+M230</f>
        <v>22837.8</v>
      </c>
      <c r="N221" s="65">
        <f t="shared" ref="N221:R221" si="32">N222+N227+N230</f>
        <v>20929</v>
      </c>
      <c r="O221" s="65">
        <f t="shared" si="32"/>
        <v>6044.5000000000009</v>
      </c>
      <c r="P221" s="65">
        <f t="shared" si="32"/>
        <v>6218.1</v>
      </c>
      <c r="Q221" s="65">
        <f t="shared" si="32"/>
        <v>6056.2000000000007</v>
      </c>
      <c r="R221" s="65">
        <f t="shared" si="32"/>
        <v>5804.2000000000007</v>
      </c>
      <c r="S221" s="64"/>
    </row>
    <row r="222" spans="1:19" ht="48" x14ac:dyDescent="0.2">
      <c r="A222" s="63" t="s">
        <v>656</v>
      </c>
      <c r="B222" s="62" t="s">
        <v>657</v>
      </c>
      <c r="C222" s="62" t="s">
        <v>0</v>
      </c>
      <c r="D222" s="62" t="s">
        <v>0</v>
      </c>
      <c r="E222" s="62" t="s">
        <v>0</v>
      </c>
      <c r="F222" s="62" t="s">
        <v>0</v>
      </c>
      <c r="G222" s="62" t="s">
        <v>0</v>
      </c>
      <c r="H222" s="56" t="s">
        <v>0</v>
      </c>
      <c r="I222" s="64"/>
      <c r="J222" s="64"/>
      <c r="K222" s="64"/>
      <c r="L222" s="62" t="s">
        <v>658</v>
      </c>
      <c r="M222" s="65">
        <f>M223+M225+M226</f>
        <v>14435.6</v>
      </c>
      <c r="N222" s="65">
        <f t="shared" ref="N222:R222" si="33">N223+N225+N226</f>
        <v>14146</v>
      </c>
      <c r="O222" s="65">
        <f t="shared" si="33"/>
        <v>2285.5</v>
      </c>
      <c r="P222" s="65">
        <f t="shared" si="33"/>
        <v>2393.6</v>
      </c>
      <c r="Q222" s="65">
        <f t="shared" si="33"/>
        <v>2319.1</v>
      </c>
      <c r="R222" s="65">
        <f t="shared" si="33"/>
        <v>2146.3000000000002</v>
      </c>
      <c r="S222" s="64"/>
    </row>
    <row r="223" spans="1:19" ht="84" x14ac:dyDescent="0.2">
      <c r="A223" s="85" t="s">
        <v>659</v>
      </c>
      <c r="B223" s="86" t="s">
        <v>660</v>
      </c>
      <c r="C223" s="62" t="s">
        <v>30</v>
      </c>
      <c r="D223" s="62" t="s">
        <v>550</v>
      </c>
      <c r="E223" s="62" t="s">
        <v>32</v>
      </c>
      <c r="F223" s="62" t="s">
        <v>0</v>
      </c>
      <c r="G223" s="62" t="s">
        <v>0</v>
      </c>
      <c r="H223" s="56" t="s">
        <v>0</v>
      </c>
      <c r="I223" s="66"/>
      <c r="J223" s="66"/>
      <c r="K223" s="67"/>
      <c r="L223" s="62" t="s">
        <v>36</v>
      </c>
      <c r="M223" s="65">
        <v>817.2</v>
      </c>
      <c r="N223" s="65">
        <v>817.2</v>
      </c>
      <c r="O223" s="68">
        <v>0</v>
      </c>
      <c r="P223" s="68">
        <v>0</v>
      </c>
      <c r="Q223" s="68">
        <v>0</v>
      </c>
      <c r="R223" s="68">
        <v>0</v>
      </c>
      <c r="S223" s="64"/>
    </row>
    <row r="224" spans="1:19" ht="60" x14ac:dyDescent="0.2">
      <c r="A224" s="85" t="s">
        <v>0</v>
      </c>
      <c r="B224" s="86" t="s">
        <v>0</v>
      </c>
      <c r="C224" s="62" t="s">
        <v>37</v>
      </c>
      <c r="D224" s="62" t="s">
        <v>38</v>
      </c>
      <c r="E224" s="62" t="s">
        <v>39</v>
      </c>
      <c r="F224" s="62" t="s">
        <v>0</v>
      </c>
      <c r="G224" s="62" t="s">
        <v>0</v>
      </c>
      <c r="H224" s="56" t="s">
        <v>0</v>
      </c>
      <c r="I224" s="64"/>
      <c r="J224" s="64"/>
      <c r="K224" s="64"/>
      <c r="L224" s="62" t="s">
        <v>0</v>
      </c>
      <c r="M224" s="65" t="s">
        <v>0</v>
      </c>
      <c r="N224" s="65" t="s">
        <v>0</v>
      </c>
      <c r="O224" s="68"/>
      <c r="P224" s="68"/>
      <c r="Q224" s="68"/>
      <c r="R224" s="68"/>
      <c r="S224" s="64"/>
    </row>
    <row r="225" spans="1:19" ht="84" x14ac:dyDescent="0.2">
      <c r="A225" s="61" t="s">
        <v>661</v>
      </c>
      <c r="B225" s="69" t="s">
        <v>662</v>
      </c>
      <c r="C225" s="69" t="s">
        <v>30</v>
      </c>
      <c r="D225" s="69" t="s">
        <v>585</v>
      </c>
      <c r="E225" s="69" t="s">
        <v>32</v>
      </c>
      <c r="F225" s="69" t="s">
        <v>0</v>
      </c>
      <c r="G225" s="69" t="s">
        <v>0</v>
      </c>
      <c r="H225" s="70" t="s">
        <v>0</v>
      </c>
      <c r="I225" s="71"/>
      <c r="J225" s="71"/>
      <c r="K225" s="72"/>
      <c r="L225" s="69" t="s">
        <v>400</v>
      </c>
      <c r="M225" s="73">
        <v>13415.9</v>
      </c>
      <c r="N225" s="73">
        <v>13166.8</v>
      </c>
      <c r="O225" s="74">
        <v>2063.6999999999998</v>
      </c>
      <c r="P225" s="74">
        <v>2393.6</v>
      </c>
      <c r="Q225" s="74">
        <v>2319.1</v>
      </c>
      <c r="R225" s="74">
        <v>2146.3000000000002</v>
      </c>
      <c r="S225" s="75"/>
    </row>
    <row r="226" spans="1:19" ht="84" x14ac:dyDescent="0.2">
      <c r="A226" s="76" t="s">
        <v>663</v>
      </c>
      <c r="B226" s="71" t="s">
        <v>664</v>
      </c>
      <c r="C226" s="71" t="s">
        <v>30</v>
      </c>
      <c r="D226" s="71" t="s">
        <v>585</v>
      </c>
      <c r="E226" s="71" t="s">
        <v>32</v>
      </c>
      <c r="F226" s="71"/>
      <c r="G226" s="71"/>
      <c r="H226" s="71"/>
      <c r="I226" s="71"/>
      <c r="J226" s="71"/>
      <c r="K226" s="72"/>
      <c r="L226" s="69" t="s">
        <v>44</v>
      </c>
      <c r="M226" s="65">
        <v>202.5</v>
      </c>
      <c r="N226" s="65">
        <v>162</v>
      </c>
      <c r="O226" s="74">
        <v>221.8</v>
      </c>
      <c r="P226" s="74">
        <v>0</v>
      </c>
      <c r="Q226" s="74">
        <v>0</v>
      </c>
      <c r="R226" s="74">
        <v>0</v>
      </c>
      <c r="S226" s="75"/>
    </row>
    <row r="227" spans="1:19" ht="72" x14ac:dyDescent="0.2">
      <c r="A227" s="77" t="s">
        <v>665</v>
      </c>
      <c r="B227" s="66" t="s">
        <v>666</v>
      </c>
      <c r="C227" s="66" t="s">
        <v>0</v>
      </c>
      <c r="D227" s="66" t="s">
        <v>0</v>
      </c>
      <c r="E227" s="66" t="s">
        <v>0</v>
      </c>
      <c r="F227" s="66" t="s">
        <v>0</v>
      </c>
      <c r="G227" s="66" t="s">
        <v>0</v>
      </c>
      <c r="H227" s="66" t="s">
        <v>0</v>
      </c>
      <c r="I227" s="64"/>
      <c r="J227" s="64"/>
      <c r="K227" s="64"/>
      <c r="L227" s="66" t="s">
        <v>667</v>
      </c>
      <c r="M227" s="68">
        <f>M228+M229</f>
        <v>413.8</v>
      </c>
      <c r="N227" s="68">
        <f t="shared" ref="N227:R227" si="34">N228+N229</f>
        <v>243.10000000000002</v>
      </c>
      <c r="O227" s="68">
        <f t="shared" si="34"/>
        <v>161.5</v>
      </c>
      <c r="P227" s="68">
        <f t="shared" si="34"/>
        <v>0</v>
      </c>
      <c r="Q227" s="68">
        <f t="shared" si="34"/>
        <v>0</v>
      </c>
      <c r="R227" s="68">
        <f t="shared" si="34"/>
        <v>0</v>
      </c>
      <c r="S227" s="64"/>
    </row>
    <row r="228" spans="1:19" ht="156" x14ac:dyDescent="0.2">
      <c r="A228" s="78" t="s">
        <v>668</v>
      </c>
      <c r="B228" s="79" t="s">
        <v>669</v>
      </c>
      <c r="C228" s="79" t="s">
        <v>30</v>
      </c>
      <c r="D228" s="79" t="s">
        <v>670</v>
      </c>
      <c r="E228" s="79" t="s">
        <v>32</v>
      </c>
      <c r="F228" s="79" t="s">
        <v>671</v>
      </c>
      <c r="G228" s="79" t="s">
        <v>183</v>
      </c>
      <c r="H228" s="80" t="s">
        <v>125</v>
      </c>
      <c r="I228" s="81"/>
      <c r="J228" s="81"/>
      <c r="K228" s="81"/>
      <c r="L228" s="79" t="s">
        <v>568</v>
      </c>
      <c r="M228" s="82">
        <v>301.10000000000002</v>
      </c>
      <c r="N228" s="82">
        <v>130.80000000000001</v>
      </c>
      <c r="O228" s="83">
        <v>141.5</v>
      </c>
      <c r="P228" s="84">
        <v>0</v>
      </c>
      <c r="Q228" s="84">
        <v>0</v>
      </c>
      <c r="R228" s="84">
        <v>0</v>
      </c>
      <c r="S228" s="81"/>
    </row>
    <row r="229" spans="1:19" ht="156" x14ac:dyDescent="0.2">
      <c r="A229" s="63" t="s">
        <v>591</v>
      </c>
      <c r="B229" s="62" t="s">
        <v>672</v>
      </c>
      <c r="C229" s="62" t="s">
        <v>30</v>
      </c>
      <c r="D229" s="62" t="s">
        <v>670</v>
      </c>
      <c r="E229" s="62" t="s">
        <v>32</v>
      </c>
      <c r="F229" s="62" t="s">
        <v>671</v>
      </c>
      <c r="G229" s="62" t="s">
        <v>183</v>
      </c>
      <c r="H229" s="56" t="s">
        <v>125</v>
      </c>
      <c r="I229" s="71"/>
      <c r="J229" s="71"/>
      <c r="K229" s="72"/>
      <c r="L229" s="62" t="s">
        <v>400</v>
      </c>
      <c r="M229" s="65">
        <v>112.7</v>
      </c>
      <c r="N229" s="65">
        <v>112.3</v>
      </c>
      <c r="O229" s="68">
        <v>20</v>
      </c>
      <c r="P229" s="68">
        <v>0</v>
      </c>
      <c r="Q229" s="68">
        <v>0</v>
      </c>
      <c r="R229" s="68">
        <v>0</v>
      </c>
      <c r="S229" s="64"/>
    </row>
    <row r="230" spans="1:19" ht="48" x14ac:dyDescent="0.2">
      <c r="A230" s="63" t="s">
        <v>673</v>
      </c>
      <c r="B230" s="62" t="s">
        <v>674</v>
      </c>
      <c r="C230" s="62" t="s">
        <v>0</v>
      </c>
      <c r="D230" s="62" t="s">
        <v>0</v>
      </c>
      <c r="E230" s="62" t="s">
        <v>0</v>
      </c>
      <c r="F230" s="62" t="s">
        <v>0</v>
      </c>
      <c r="G230" s="62" t="s">
        <v>0</v>
      </c>
      <c r="H230" s="56" t="s">
        <v>0</v>
      </c>
      <c r="I230" s="64"/>
      <c r="J230" s="64"/>
      <c r="K230" s="64"/>
      <c r="L230" s="62" t="s">
        <v>675</v>
      </c>
      <c r="M230" s="65">
        <f>M231+M233+M235+M237+M239+M243+M245+M241</f>
        <v>7988.4000000000005</v>
      </c>
      <c r="N230" s="65">
        <f t="shared" ref="N230:R230" si="35">N231+N233+N235+N237+N239+N243+N245+N241</f>
        <v>6539.9000000000005</v>
      </c>
      <c r="O230" s="65">
        <f t="shared" si="35"/>
        <v>3597.5000000000009</v>
      </c>
      <c r="P230" s="65">
        <f t="shared" si="35"/>
        <v>3824.5000000000009</v>
      </c>
      <c r="Q230" s="65">
        <f t="shared" si="35"/>
        <v>3737.1000000000008</v>
      </c>
      <c r="R230" s="65">
        <f t="shared" si="35"/>
        <v>3657.9000000000005</v>
      </c>
      <c r="S230" s="64"/>
    </row>
    <row r="231" spans="1:19" ht="84" x14ac:dyDescent="0.2">
      <c r="A231" s="85" t="s">
        <v>40</v>
      </c>
      <c r="B231" s="86" t="s">
        <v>676</v>
      </c>
      <c r="C231" s="62" t="s">
        <v>30</v>
      </c>
      <c r="D231" s="62" t="s">
        <v>156</v>
      </c>
      <c r="E231" s="62" t="s">
        <v>32</v>
      </c>
      <c r="F231" s="62" t="s">
        <v>0</v>
      </c>
      <c r="G231" s="62" t="s">
        <v>0</v>
      </c>
      <c r="H231" s="56" t="s">
        <v>0</v>
      </c>
      <c r="I231" s="71"/>
      <c r="J231" s="71"/>
      <c r="K231" s="72"/>
      <c r="L231" s="62" t="s">
        <v>44</v>
      </c>
      <c r="M231" s="65">
        <v>2784.6</v>
      </c>
      <c r="N231" s="65">
        <v>1665.5</v>
      </c>
      <c r="O231" s="68">
        <v>2557.5</v>
      </c>
      <c r="P231" s="68">
        <v>2727.9</v>
      </c>
      <c r="Q231" s="68">
        <v>2810.5</v>
      </c>
      <c r="R231" s="68">
        <v>2756</v>
      </c>
      <c r="S231" s="64"/>
    </row>
    <row r="232" spans="1:19" ht="84" x14ac:dyDescent="0.2">
      <c r="A232" s="85" t="s">
        <v>0</v>
      </c>
      <c r="B232" s="86" t="s">
        <v>0</v>
      </c>
      <c r="C232" s="62" t="s">
        <v>30</v>
      </c>
      <c r="D232" s="62" t="s">
        <v>45</v>
      </c>
      <c r="E232" s="62" t="s">
        <v>32</v>
      </c>
      <c r="F232" s="62" t="s">
        <v>0</v>
      </c>
      <c r="G232" s="62" t="s">
        <v>0</v>
      </c>
      <c r="H232" s="56" t="s">
        <v>0</v>
      </c>
      <c r="I232" s="64"/>
      <c r="J232" s="64"/>
      <c r="K232" s="64"/>
      <c r="L232" s="62" t="s">
        <v>0</v>
      </c>
      <c r="M232" s="65"/>
      <c r="N232" s="65"/>
      <c r="O232" s="68"/>
      <c r="P232" s="68"/>
      <c r="Q232" s="68"/>
      <c r="R232" s="68"/>
      <c r="S232" s="64"/>
    </row>
    <row r="233" spans="1:19" ht="84" x14ac:dyDescent="0.2">
      <c r="A233" s="85" t="s">
        <v>677</v>
      </c>
      <c r="B233" s="86" t="s">
        <v>678</v>
      </c>
      <c r="C233" s="62" t="s">
        <v>30</v>
      </c>
      <c r="D233" s="62" t="s">
        <v>156</v>
      </c>
      <c r="E233" s="62" t="s">
        <v>32</v>
      </c>
      <c r="F233" s="62" t="s">
        <v>0</v>
      </c>
      <c r="G233" s="62" t="s">
        <v>0</v>
      </c>
      <c r="H233" s="56" t="s">
        <v>0</v>
      </c>
      <c r="I233" s="66"/>
      <c r="J233" s="66"/>
      <c r="K233" s="67"/>
      <c r="L233" s="62" t="s">
        <v>581</v>
      </c>
      <c r="M233" s="65">
        <v>89.3</v>
      </c>
      <c r="N233" s="65">
        <v>64.3</v>
      </c>
      <c r="O233" s="68">
        <v>381.3</v>
      </c>
      <c r="P233" s="68">
        <v>381.3</v>
      </c>
      <c r="Q233" s="68">
        <v>381.3</v>
      </c>
      <c r="R233" s="68">
        <v>381.3</v>
      </c>
      <c r="S233" s="64"/>
    </row>
    <row r="234" spans="1:19" ht="84" x14ac:dyDescent="0.2">
      <c r="A234" s="85" t="s">
        <v>0</v>
      </c>
      <c r="B234" s="86" t="s">
        <v>0</v>
      </c>
      <c r="C234" s="62" t="s">
        <v>30</v>
      </c>
      <c r="D234" s="62" t="s">
        <v>679</v>
      </c>
      <c r="E234" s="62" t="s">
        <v>32</v>
      </c>
      <c r="F234" s="62" t="s">
        <v>0</v>
      </c>
      <c r="G234" s="62" t="s">
        <v>0</v>
      </c>
      <c r="H234" s="56" t="s">
        <v>0</v>
      </c>
      <c r="I234" s="64"/>
      <c r="J234" s="64"/>
      <c r="K234" s="64"/>
      <c r="L234" s="62" t="s">
        <v>0</v>
      </c>
      <c r="M234" s="65"/>
      <c r="N234" s="65"/>
      <c r="O234" s="68"/>
      <c r="P234" s="68"/>
      <c r="Q234" s="68"/>
      <c r="R234" s="68"/>
      <c r="S234" s="64"/>
    </row>
    <row r="235" spans="1:19" ht="84" x14ac:dyDescent="0.2">
      <c r="A235" s="85" t="s">
        <v>680</v>
      </c>
      <c r="B235" s="86" t="s">
        <v>681</v>
      </c>
      <c r="C235" s="62" t="s">
        <v>30</v>
      </c>
      <c r="D235" s="62" t="s">
        <v>156</v>
      </c>
      <c r="E235" s="62" t="s">
        <v>32</v>
      </c>
      <c r="F235" s="62" t="s">
        <v>0</v>
      </c>
      <c r="G235" s="62" t="s">
        <v>0</v>
      </c>
      <c r="H235" s="56" t="s">
        <v>0</v>
      </c>
      <c r="I235" s="71"/>
      <c r="J235" s="71"/>
      <c r="K235" s="72"/>
      <c r="L235" s="62" t="s">
        <v>400</v>
      </c>
      <c r="M235" s="65">
        <v>585</v>
      </c>
      <c r="N235" s="65">
        <v>585</v>
      </c>
      <c r="O235" s="68">
        <v>270</v>
      </c>
      <c r="P235" s="68">
        <v>270</v>
      </c>
      <c r="Q235" s="68">
        <v>270</v>
      </c>
      <c r="R235" s="68">
        <v>270</v>
      </c>
      <c r="S235" s="64"/>
    </row>
    <row r="236" spans="1:19" ht="84" x14ac:dyDescent="0.2">
      <c r="A236" s="85" t="s">
        <v>0</v>
      </c>
      <c r="B236" s="86" t="s">
        <v>0</v>
      </c>
      <c r="C236" s="62" t="s">
        <v>30</v>
      </c>
      <c r="D236" s="62" t="s">
        <v>682</v>
      </c>
      <c r="E236" s="62" t="s">
        <v>32</v>
      </c>
      <c r="F236" s="62" t="s">
        <v>0</v>
      </c>
      <c r="G236" s="62" t="s">
        <v>0</v>
      </c>
      <c r="H236" s="56" t="s">
        <v>0</v>
      </c>
      <c r="I236" s="66"/>
      <c r="J236" s="66"/>
      <c r="K236" s="67"/>
      <c r="L236" s="62" t="s">
        <v>0</v>
      </c>
      <c r="M236" s="65"/>
      <c r="N236" s="65"/>
      <c r="O236" s="68"/>
      <c r="P236" s="68"/>
      <c r="Q236" s="68"/>
      <c r="R236" s="68"/>
      <c r="S236" s="64"/>
    </row>
    <row r="237" spans="1:19" ht="84" x14ac:dyDescent="0.2">
      <c r="A237" s="85" t="s">
        <v>683</v>
      </c>
      <c r="B237" s="86" t="s">
        <v>684</v>
      </c>
      <c r="C237" s="62" t="s">
        <v>30</v>
      </c>
      <c r="D237" s="62" t="s">
        <v>156</v>
      </c>
      <c r="E237" s="62" t="s">
        <v>32</v>
      </c>
      <c r="F237" s="62" t="s">
        <v>0</v>
      </c>
      <c r="G237" s="62" t="s">
        <v>0</v>
      </c>
      <c r="H237" s="56" t="s">
        <v>0</v>
      </c>
      <c r="I237" s="66"/>
      <c r="J237" s="66"/>
      <c r="K237" s="67"/>
      <c r="L237" s="62" t="s">
        <v>324</v>
      </c>
      <c r="M237" s="65">
        <v>0</v>
      </c>
      <c r="N237" s="65">
        <v>0</v>
      </c>
      <c r="O237" s="68">
        <v>68.8</v>
      </c>
      <c r="P237" s="68">
        <v>68.8</v>
      </c>
      <c r="Q237" s="68">
        <v>68.8</v>
      </c>
      <c r="R237" s="68">
        <v>68.8</v>
      </c>
      <c r="S237" s="64"/>
    </row>
    <row r="238" spans="1:19" ht="84" x14ac:dyDescent="0.2">
      <c r="A238" s="85" t="s">
        <v>0</v>
      </c>
      <c r="B238" s="86" t="s">
        <v>0</v>
      </c>
      <c r="C238" s="62" t="s">
        <v>30</v>
      </c>
      <c r="D238" s="62" t="s">
        <v>685</v>
      </c>
      <c r="E238" s="62" t="s">
        <v>32</v>
      </c>
      <c r="F238" s="62" t="s">
        <v>0</v>
      </c>
      <c r="G238" s="62" t="s">
        <v>0</v>
      </c>
      <c r="H238" s="56" t="s">
        <v>0</v>
      </c>
      <c r="I238" s="64"/>
      <c r="J238" s="64"/>
      <c r="K238" s="64"/>
      <c r="L238" s="62" t="s">
        <v>0</v>
      </c>
      <c r="M238" s="65"/>
      <c r="N238" s="65"/>
      <c r="O238" s="68"/>
      <c r="P238" s="68"/>
      <c r="Q238" s="68"/>
      <c r="R238" s="68"/>
      <c r="S238" s="64"/>
    </row>
    <row r="239" spans="1:19" ht="84" x14ac:dyDescent="0.2">
      <c r="A239" s="85" t="s">
        <v>686</v>
      </c>
      <c r="B239" s="86" t="s">
        <v>687</v>
      </c>
      <c r="C239" s="62" t="s">
        <v>30</v>
      </c>
      <c r="D239" s="62" t="s">
        <v>156</v>
      </c>
      <c r="E239" s="62" t="s">
        <v>32</v>
      </c>
      <c r="F239" s="62" t="s">
        <v>0</v>
      </c>
      <c r="G239" s="62" t="s">
        <v>0</v>
      </c>
      <c r="H239" s="56" t="s">
        <v>0</v>
      </c>
      <c r="I239" s="66"/>
      <c r="J239" s="66"/>
      <c r="K239" s="67"/>
      <c r="L239" s="62" t="s">
        <v>324</v>
      </c>
      <c r="M239" s="65">
        <v>0</v>
      </c>
      <c r="N239" s="65">
        <v>0</v>
      </c>
      <c r="O239" s="68">
        <v>68.8</v>
      </c>
      <c r="P239" s="68">
        <v>68.8</v>
      </c>
      <c r="Q239" s="68">
        <v>68.8</v>
      </c>
      <c r="R239" s="68">
        <v>68.8</v>
      </c>
      <c r="S239" s="64"/>
    </row>
    <row r="240" spans="1:19" ht="84" x14ac:dyDescent="0.2">
      <c r="A240" s="85" t="s">
        <v>0</v>
      </c>
      <c r="B240" s="86" t="s">
        <v>0</v>
      </c>
      <c r="C240" s="62" t="s">
        <v>30</v>
      </c>
      <c r="D240" s="62" t="s">
        <v>688</v>
      </c>
      <c r="E240" s="62" t="s">
        <v>32</v>
      </c>
      <c r="F240" s="62" t="s">
        <v>0</v>
      </c>
      <c r="G240" s="62" t="s">
        <v>0</v>
      </c>
      <c r="H240" s="56" t="s">
        <v>0</v>
      </c>
      <c r="I240" s="64"/>
      <c r="J240" s="64"/>
      <c r="K240" s="64"/>
      <c r="L240" s="62" t="s">
        <v>0</v>
      </c>
      <c r="M240" s="65"/>
      <c r="N240" s="65"/>
      <c r="O240" s="68"/>
      <c r="P240" s="68"/>
      <c r="Q240" s="68"/>
      <c r="R240" s="68"/>
      <c r="S240" s="64"/>
    </row>
    <row r="241" spans="1:19" ht="84" x14ac:dyDescent="0.2">
      <c r="A241" s="87" t="s">
        <v>689</v>
      </c>
      <c r="B241" s="86" t="s">
        <v>690</v>
      </c>
      <c r="C241" s="62" t="s">
        <v>691</v>
      </c>
      <c r="D241" s="62" t="s">
        <v>692</v>
      </c>
      <c r="E241" s="62" t="s">
        <v>32</v>
      </c>
      <c r="F241" s="62"/>
      <c r="G241" s="62"/>
      <c r="H241" s="56"/>
      <c r="I241" s="66"/>
      <c r="J241" s="66"/>
      <c r="K241" s="67"/>
      <c r="L241" s="62" t="s">
        <v>160</v>
      </c>
      <c r="M241" s="65">
        <v>4225.1000000000004</v>
      </c>
      <c r="N241" s="65">
        <v>4225.1000000000004</v>
      </c>
      <c r="O241" s="68">
        <v>12.3</v>
      </c>
      <c r="P241" s="68">
        <v>0</v>
      </c>
      <c r="Q241" s="68">
        <v>0</v>
      </c>
      <c r="R241" s="68">
        <v>0</v>
      </c>
      <c r="S241" s="64"/>
    </row>
    <row r="242" spans="1:19" ht="84" x14ac:dyDescent="0.2">
      <c r="A242" s="88"/>
      <c r="B242" s="86" t="s">
        <v>0</v>
      </c>
      <c r="C242" s="62" t="s">
        <v>691</v>
      </c>
      <c r="D242" s="62" t="s">
        <v>693</v>
      </c>
      <c r="E242" s="62" t="s">
        <v>32</v>
      </c>
      <c r="F242" s="62"/>
      <c r="G242" s="62"/>
      <c r="H242" s="56"/>
      <c r="I242" s="64"/>
      <c r="J242" s="64"/>
      <c r="K242" s="64"/>
      <c r="L242" s="62"/>
      <c r="M242" s="65"/>
      <c r="N242" s="65"/>
      <c r="O242" s="68"/>
      <c r="P242" s="68"/>
      <c r="Q242" s="68"/>
      <c r="R242" s="68"/>
      <c r="S242" s="64"/>
    </row>
    <row r="243" spans="1:19" ht="84" x14ac:dyDescent="0.2">
      <c r="A243" s="85" t="s">
        <v>694</v>
      </c>
      <c r="B243" s="86" t="s">
        <v>695</v>
      </c>
      <c r="C243" s="62" t="s">
        <v>30</v>
      </c>
      <c r="D243" s="62" t="s">
        <v>696</v>
      </c>
      <c r="E243" s="62" t="s">
        <v>32</v>
      </c>
      <c r="F243" s="62" t="s">
        <v>0</v>
      </c>
      <c r="G243" s="62" t="s">
        <v>0</v>
      </c>
      <c r="H243" s="56" t="s">
        <v>0</v>
      </c>
      <c r="I243" s="66"/>
      <c r="J243" s="66"/>
      <c r="K243" s="67"/>
      <c r="L243" s="62" t="s">
        <v>324</v>
      </c>
      <c r="M243" s="65">
        <v>0</v>
      </c>
      <c r="N243" s="65">
        <v>0</v>
      </c>
      <c r="O243" s="68">
        <v>68.8</v>
      </c>
      <c r="P243" s="68">
        <v>68.8</v>
      </c>
      <c r="Q243" s="68">
        <v>68.8</v>
      </c>
      <c r="R243" s="68">
        <v>68.8</v>
      </c>
      <c r="S243" s="64"/>
    </row>
    <row r="244" spans="1:19" ht="84" x14ac:dyDescent="0.2">
      <c r="A244" s="85" t="s">
        <v>0</v>
      </c>
      <c r="B244" s="86" t="s">
        <v>0</v>
      </c>
      <c r="C244" s="62" t="s">
        <v>30</v>
      </c>
      <c r="D244" s="62" t="s">
        <v>156</v>
      </c>
      <c r="E244" s="62" t="s">
        <v>32</v>
      </c>
      <c r="F244" s="62" t="s">
        <v>0</v>
      </c>
      <c r="G244" s="62" t="s">
        <v>0</v>
      </c>
      <c r="H244" s="56" t="s">
        <v>0</v>
      </c>
      <c r="I244" s="64"/>
      <c r="J244" s="64"/>
      <c r="K244" s="64"/>
      <c r="L244" s="62" t="s">
        <v>0</v>
      </c>
      <c r="M244" s="65"/>
      <c r="N244" s="65"/>
      <c r="O244" s="68"/>
      <c r="P244" s="68"/>
      <c r="Q244" s="68"/>
      <c r="R244" s="68"/>
      <c r="S244" s="64"/>
    </row>
    <row r="245" spans="1:19" ht="84" x14ac:dyDescent="0.2">
      <c r="A245" s="85" t="s">
        <v>697</v>
      </c>
      <c r="B245" s="86" t="s">
        <v>698</v>
      </c>
      <c r="C245" s="62" t="s">
        <v>30</v>
      </c>
      <c r="D245" s="62" t="s">
        <v>696</v>
      </c>
      <c r="E245" s="62" t="s">
        <v>32</v>
      </c>
      <c r="F245" s="62" t="s">
        <v>0</v>
      </c>
      <c r="G245" s="62" t="s">
        <v>0</v>
      </c>
      <c r="H245" s="56" t="s">
        <v>0</v>
      </c>
      <c r="I245" s="66"/>
      <c r="J245" s="66"/>
      <c r="K245" s="67"/>
      <c r="L245" s="62" t="s">
        <v>36</v>
      </c>
      <c r="M245" s="65">
        <v>304.39999999999998</v>
      </c>
      <c r="N245" s="65">
        <v>0</v>
      </c>
      <c r="O245" s="68">
        <v>170</v>
      </c>
      <c r="P245" s="68">
        <v>238.9</v>
      </c>
      <c r="Q245" s="68">
        <v>68.900000000000006</v>
      </c>
      <c r="R245" s="68">
        <v>44.2</v>
      </c>
      <c r="S245" s="64"/>
    </row>
    <row r="246" spans="1:19" ht="84" x14ac:dyDescent="0.2">
      <c r="A246" s="85" t="s">
        <v>0</v>
      </c>
      <c r="B246" s="86" t="s">
        <v>0</v>
      </c>
      <c r="C246" s="62" t="s">
        <v>30</v>
      </c>
      <c r="D246" s="62" t="s">
        <v>156</v>
      </c>
      <c r="E246" s="62" t="s">
        <v>32</v>
      </c>
      <c r="F246" s="62" t="s">
        <v>0</v>
      </c>
      <c r="G246" s="62" t="s">
        <v>0</v>
      </c>
      <c r="H246" s="56" t="s">
        <v>0</v>
      </c>
      <c r="I246" s="64"/>
      <c r="J246" s="64"/>
      <c r="K246" s="64"/>
      <c r="L246" s="62" t="s">
        <v>0</v>
      </c>
      <c r="M246" s="65"/>
      <c r="N246" s="65"/>
      <c r="O246" s="68"/>
      <c r="P246" s="68"/>
      <c r="Q246" s="68"/>
      <c r="R246" s="68"/>
      <c r="S246" s="64"/>
    </row>
    <row r="247" spans="1:19" ht="108" x14ac:dyDescent="0.2">
      <c r="A247" s="63" t="s">
        <v>699</v>
      </c>
      <c r="B247" s="62" t="s">
        <v>700</v>
      </c>
      <c r="C247" s="62" t="s">
        <v>0</v>
      </c>
      <c r="D247" s="62" t="s">
        <v>0</v>
      </c>
      <c r="E247" s="62" t="s">
        <v>0</v>
      </c>
      <c r="F247" s="62" t="s">
        <v>0</v>
      </c>
      <c r="G247" s="62" t="s">
        <v>0</v>
      </c>
      <c r="H247" s="56" t="s">
        <v>0</v>
      </c>
      <c r="I247" s="64"/>
      <c r="J247" s="64"/>
      <c r="K247" s="64"/>
      <c r="L247" s="62" t="s">
        <v>701</v>
      </c>
      <c r="M247" s="65">
        <f>M248+M250+M252+M254+M256</f>
        <v>9796.2999999999993</v>
      </c>
      <c r="N247" s="65">
        <f t="shared" ref="N247:R247" si="36">N248+N250+N252+N254+N256</f>
        <v>9302.6</v>
      </c>
      <c r="O247" s="65">
        <f t="shared" si="36"/>
        <v>9164</v>
      </c>
      <c r="P247" s="65">
        <f t="shared" si="36"/>
        <v>7137.9999999999991</v>
      </c>
      <c r="Q247" s="65">
        <f t="shared" si="36"/>
        <v>7261.3999999999987</v>
      </c>
      <c r="R247" s="65">
        <f t="shared" si="36"/>
        <v>10009.400000000001</v>
      </c>
      <c r="S247" s="64"/>
    </row>
    <row r="248" spans="1:19" ht="108" x14ac:dyDescent="0.2">
      <c r="A248" s="85" t="s">
        <v>161</v>
      </c>
      <c r="B248" s="86" t="s">
        <v>702</v>
      </c>
      <c r="C248" s="62" t="s">
        <v>30</v>
      </c>
      <c r="D248" s="62" t="s">
        <v>167</v>
      </c>
      <c r="E248" s="62" t="s">
        <v>32</v>
      </c>
      <c r="F248" s="62" t="s">
        <v>168</v>
      </c>
      <c r="G248" s="62" t="s">
        <v>34</v>
      </c>
      <c r="H248" s="56" t="s">
        <v>125</v>
      </c>
      <c r="I248" s="66"/>
      <c r="J248" s="66"/>
      <c r="K248" s="67"/>
      <c r="L248" s="62" t="s">
        <v>324</v>
      </c>
      <c r="M248" s="65">
        <v>2332.1999999999998</v>
      </c>
      <c r="N248" s="65">
        <v>1960.6</v>
      </c>
      <c r="O248" s="68">
        <v>2461</v>
      </c>
      <c r="P248" s="68">
        <v>708.4</v>
      </c>
      <c r="Q248" s="68">
        <v>763.7</v>
      </c>
      <c r="R248" s="68">
        <v>2559.4</v>
      </c>
      <c r="S248" s="64"/>
    </row>
    <row r="249" spans="1:19" ht="84" x14ac:dyDescent="0.2">
      <c r="A249" s="85" t="s">
        <v>0</v>
      </c>
      <c r="B249" s="86" t="s">
        <v>0</v>
      </c>
      <c r="C249" s="62" t="s">
        <v>30</v>
      </c>
      <c r="D249" s="62" t="s">
        <v>170</v>
      </c>
      <c r="E249" s="62" t="s">
        <v>32</v>
      </c>
      <c r="F249" s="62" t="s">
        <v>0</v>
      </c>
      <c r="G249" s="62" t="s">
        <v>0</v>
      </c>
      <c r="H249" s="56" t="s">
        <v>0</v>
      </c>
      <c r="I249" s="64"/>
      <c r="J249" s="64"/>
      <c r="K249" s="64"/>
      <c r="L249" s="62" t="s">
        <v>0</v>
      </c>
      <c r="M249" s="65"/>
      <c r="N249" s="65"/>
      <c r="O249" s="68"/>
      <c r="P249" s="68"/>
      <c r="Q249" s="68"/>
      <c r="R249" s="68"/>
      <c r="S249" s="64"/>
    </row>
    <row r="250" spans="1:19" ht="108" x14ac:dyDescent="0.2">
      <c r="A250" s="85" t="s">
        <v>162</v>
      </c>
      <c r="B250" s="86" t="s">
        <v>703</v>
      </c>
      <c r="C250" s="62" t="s">
        <v>30</v>
      </c>
      <c r="D250" s="62" t="s">
        <v>167</v>
      </c>
      <c r="E250" s="62" t="s">
        <v>32</v>
      </c>
      <c r="F250" s="62" t="s">
        <v>168</v>
      </c>
      <c r="G250" s="62" t="s">
        <v>34</v>
      </c>
      <c r="H250" s="56" t="s">
        <v>125</v>
      </c>
      <c r="I250" s="66"/>
      <c r="J250" s="66"/>
      <c r="K250" s="67"/>
      <c r="L250" s="62" t="s">
        <v>601</v>
      </c>
      <c r="M250" s="65">
        <v>6669.6</v>
      </c>
      <c r="N250" s="65">
        <v>6547.5</v>
      </c>
      <c r="O250" s="68">
        <v>5736</v>
      </c>
      <c r="P250" s="68">
        <v>5383.4</v>
      </c>
      <c r="Q250" s="68">
        <v>5415.4</v>
      </c>
      <c r="R250" s="68">
        <v>6436.7</v>
      </c>
      <c r="S250" s="64"/>
    </row>
    <row r="251" spans="1:19" ht="84" x14ac:dyDescent="0.2">
      <c r="A251" s="85" t="s">
        <v>0</v>
      </c>
      <c r="B251" s="86" t="s">
        <v>0</v>
      </c>
      <c r="C251" s="62" t="s">
        <v>30</v>
      </c>
      <c r="D251" s="62" t="s">
        <v>170</v>
      </c>
      <c r="E251" s="62" t="s">
        <v>32</v>
      </c>
      <c r="F251" s="62" t="s">
        <v>0</v>
      </c>
      <c r="G251" s="62" t="s">
        <v>0</v>
      </c>
      <c r="H251" s="56" t="s">
        <v>0</v>
      </c>
      <c r="I251" s="66"/>
      <c r="J251" s="66"/>
      <c r="K251" s="67"/>
      <c r="L251" s="62" t="s">
        <v>0</v>
      </c>
      <c r="M251" s="65" t="s">
        <v>0</v>
      </c>
      <c r="N251" s="65" t="s">
        <v>0</v>
      </c>
      <c r="O251" s="68"/>
      <c r="P251" s="68"/>
      <c r="Q251" s="68"/>
      <c r="R251" s="68"/>
      <c r="S251" s="64"/>
    </row>
    <row r="252" spans="1:19" ht="84" x14ac:dyDescent="0.2">
      <c r="A252" s="85" t="s">
        <v>175</v>
      </c>
      <c r="B252" s="86" t="s">
        <v>704</v>
      </c>
      <c r="C252" s="62" t="s">
        <v>30</v>
      </c>
      <c r="D252" s="62" t="s">
        <v>167</v>
      </c>
      <c r="E252" s="62" t="s">
        <v>32</v>
      </c>
      <c r="F252" s="62" t="s">
        <v>0</v>
      </c>
      <c r="G252" s="62" t="s">
        <v>0</v>
      </c>
      <c r="H252" s="56" t="s">
        <v>0</v>
      </c>
      <c r="I252" s="66"/>
      <c r="J252" s="66"/>
      <c r="K252" s="67"/>
      <c r="L252" s="62" t="s">
        <v>177</v>
      </c>
      <c r="M252" s="65">
        <v>5.4</v>
      </c>
      <c r="N252" s="65">
        <v>5.4</v>
      </c>
      <c r="O252" s="68">
        <v>3.2</v>
      </c>
      <c r="P252" s="68">
        <v>3.2</v>
      </c>
      <c r="Q252" s="68">
        <v>3.2</v>
      </c>
      <c r="R252" s="68">
        <v>3.2</v>
      </c>
      <c r="S252" s="64"/>
    </row>
    <row r="253" spans="1:19" ht="84" x14ac:dyDescent="0.2">
      <c r="A253" s="85" t="s">
        <v>0</v>
      </c>
      <c r="B253" s="86" t="s">
        <v>0</v>
      </c>
      <c r="C253" s="62" t="s">
        <v>30</v>
      </c>
      <c r="D253" s="62" t="s">
        <v>178</v>
      </c>
      <c r="E253" s="62" t="s">
        <v>32</v>
      </c>
      <c r="F253" s="62" t="s">
        <v>0</v>
      </c>
      <c r="G253" s="62" t="s">
        <v>0</v>
      </c>
      <c r="H253" s="56" t="s">
        <v>0</v>
      </c>
      <c r="I253" s="66"/>
      <c r="J253" s="66"/>
      <c r="K253" s="67"/>
      <c r="L253" s="62" t="s">
        <v>0</v>
      </c>
      <c r="M253" s="65" t="s">
        <v>0</v>
      </c>
      <c r="N253" s="65" t="s">
        <v>0</v>
      </c>
      <c r="O253" s="68"/>
      <c r="P253" s="68"/>
      <c r="Q253" s="68"/>
      <c r="R253" s="68"/>
      <c r="S253" s="64"/>
    </row>
    <row r="254" spans="1:19" ht="48" x14ac:dyDescent="0.2">
      <c r="A254" s="85" t="s">
        <v>179</v>
      </c>
      <c r="B254" s="86" t="s">
        <v>705</v>
      </c>
      <c r="C254" s="62" t="s">
        <v>118</v>
      </c>
      <c r="D254" s="62" t="s">
        <v>181</v>
      </c>
      <c r="E254" s="62" t="s">
        <v>120</v>
      </c>
      <c r="F254" s="62" t="s">
        <v>0</v>
      </c>
      <c r="G254" s="62" t="s">
        <v>0</v>
      </c>
      <c r="H254" s="56" t="s">
        <v>0</v>
      </c>
      <c r="I254" s="64"/>
      <c r="J254" s="64"/>
      <c r="K254" s="64"/>
      <c r="L254" s="62" t="s">
        <v>36</v>
      </c>
      <c r="M254" s="65">
        <v>0</v>
      </c>
      <c r="N254" s="65">
        <v>0</v>
      </c>
      <c r="O254" s="68">
        <v>0</v>
      </c>
      <c r="P254" s="68">
        <v>45.9</v>
      </c>
      <c r="Q254" s="68">
        <v>45.9</v>
      </c>
      <c r="R254" s="68">
        <v>0</v>
      </c>
      <c r="S254" s="64"/>
    </row>
    <row r="255" spans="1:19" ht="84" x14ac:dyDescent="0.2">
      <c r="A255" s="85" t="s">
        <v>0</v>
      </c>
      <c r="B255" s="86" t="s">
        <v>0</v>
      </c>
      <c r="C255" s="62" t="s">
        <v>30</v>
      </c>
      <c r="D255" s="62" t="s">
        <v>185</v>
      </c>
      <c r="E255" s="62" t="s">
        <v>32</v>
      </c>
      <c r="F255" s="62" t="s">
        <v>0</v>
      </c>
      <c r="G255" s="62" t="s">
        <v>0</v>
      </c>
      <c r="H255" s="56" t="s">
        <v>0</v>
      </c>
      <c r="I255" s="64"/>
      <c r="J255" s="64"/>
      <c r="K255" s="64"/>
      <c r="L255" s="62" t="s">
        <v>0</v>
      </c>
      <c r="M255" s="65" t="s">
        <v>0</v>
      </c>
      <c r="N255" s="65" t="s">
        <v>0</v>
      </c>
      <c r="O255" s="68"/>
      <c r="P255" s="68"/>
      <c r="Q255" s="68"/>
      <c r="R255" s="68"/>
      <c r="S255" s="64"/>
    </row>
    <row r="256" spans="1:19" ht="96" x14ac:dyDescent="0.2">
      <c r="A256" s="85" t="s">
        <v>217</v>
      </c>
      <c r="B256" s="86" t="s">
        <v>706</v>
      </c>
      <c r="C256" s="62" t="s">
        <v>172</v>
      </c>
      <c r="D256" s="62" t="s">
        <v>173</v>
      </c>
      <c r="E256" s="62" t="s">
        <v>174</v>
      </c>
      <c r="F256" s="62" t="s">
        <v>219</v>
      </c>
      <c r="G256" s="62" t="s">
        <v>220</v>
      </c>
      <c r="H256" s="56" t="s">
        <v>125</v>
      </c>
      <c r="I256" s="66"/>
      <c r="J256" s="66"/>
      <c r="K256" s="67"/>
      <c r="L256" s="62" t="s">
        <v>221</v>
      </c>
      <c r="M256" s="65">
        <v>789.1</v>
      </c>
      <c r="N256" s="65">
        <v>789.1</v>
      </c>
      <c r="O256" s="68">
        <v>963.8</v>
      </c>
      <c r="P256" s="68">
        <v>997.1</v>
      </c>
      <c r="Q256" s="68">
        <v>1033.2</v>
      </c>
      <c r="R256" s="68">
        <v>1010.1</v>
      </c>
      <c r="S256" s="64"/>
    </row>
    <row r="257" spans="1:19" ht="84" x14ac:dyDescent="0.2">
      <c r="A257" s="85" t="s">
        <v>0</v>
      </c>
      <c r="B257" s="86" t="s">
        <v>0</v>
      </c>
      <c r="C257" s="62" t="s">
        <v>30</v>
      </c>
      <c r="D257" s="62" t="s">
        <v>178</v>
      </c>
      <c r="E257" s="62" t="s">
        <v>32</v>
      </c>
      <c r="F257" s="62" t="s">
        <v>0</v>
      </c>
      <c r="G257" s="62" t="s">
        <v>0</v>
      </c>
      <c r="H257" s="56" t="s">
        <v>0</v>
      </c>
      <c r="I257" s="64"/>
      <c r="J257" s="64"/>
      <c r="K257" s="64"/>
      <c r="L257" s="62" t="s">
        <v>0</v>
      </c>
      <c r="M257" s="65" t="s">
        <v>0</v>
      </c>
      <c r="N257" s="65" t="s">
        <v>0</v>
      </c>
      <c r="O257" s="68"/>
      <c r="P257" s="68"/>
      <c r="Q257" s="68"/>
      <c r="R257" s="68"/>
      <c r="S257" s="64"/>
    </row>
    <row r="258" spans="1:19" ht="72" x14ac:dyDescent="0.2">
      <c r="A258" s="63" t="s">
        <v>707</v>
      </c>
      <c r="B258" s="62" t="s">
        <v>708</v>
      </c>
      <c r="C258" s="62" t="s">
        <v>0</v>
      </c>
      <c r="D258" s="62" t="s">
        <v>0</v>
      </c>
      <c r="E258" s="62" t="s">
        <v>0</v>
      </c>
      <c r="F258" s="62" t="s">
        <v>0</v>
      </c>
      <c r="G258" s="62" t="s">
        <v>0</v>
      </c>
      <c r="H258" s="56" t="s">
        <v>0</v>
      </c>
      <c r="I258" s="64"/>
      <c r="J258" s="64"/>
      <c r="K258" s="64"/>
      <c r="L258" s="62" t="s">
        <v>248</v>
      </c>
      <c r="M258" s="65">
        <f>M259</f>
        <v>0</v>
      </c>
      <c r="N258" s="65">
        <f t="shared" ref="N258:R259" si="37">N259</f>
        <v>0</v>
      </c>
      <c r="O258" s="65">
        <f t="shared" si="37"/>
        <v>6.6</v>
      </c>
      <c r="P258" s="65">
        <f t="shared" si="37"/>
        <v>8</v>
      </c>
      <c r="Q258" s="65">
        <f t="shared" si="37"/>
        <v>8</v>
      </c>
      <c r="R258" s="65">
        <f t="shared" si="37"/>
        <v>0</v>
      </c>
      <c r="S258" s="64"/>
    </row>
    <row r="259" spans="1:19" ht="60" x14ac:dyDescent="0.2">
      <c r="A259" s="63" t="s">
        <v>239</v>
      </c>
      <c r="B259" s="62" t="s">
        <v>709</v>
      </c>
      <c r="C259" s="62" t="s">
        <v>0</v>
      </c>
      <c r="D259" s="62" t="s">
        <v>0</v>
      </c>
      <c r="E259" s="62" t="s">
        <v>0</v>
      </c>
      <c r="F259" s="62" t="s">
        <v>0</v>
      </c>
      <c r="G259" s="62" t="s">
        <v>0</v>
      </c>
      <c r="H259" s="56" t="s">
        <v>0</v>
      </c>
      <c r="I259" s="64"/>
      <c r="J259" s="64"/>
      <c r="K259" s="64"/>
      <c r="L259" s="62" t="s">
        <v>248</v>
      </c>
      <c r="M259" s="65">
        <f>M260</f>
        <v>0</v>
      </c>
      <c r="N259" s="65">
        <f t="shared" si="37"/>
        <v>0</v>
      </c>
      <c r="O259" s="65">
        <f t="shared" si="37"/>
        <v>6.6</v>
      </c>
      <c r="P259" s="65">
        <f t="shared" si="37"/>
        <v>8</v>
      </c>
      <c r="Q259" s="65">
        <f t="shared" si="37"/>
        <v>8</v>
      </c>
      <c r="R259" s="65">
        <f t="shared" si="37"/>
        <v>0</v>
      </c>
      <c r="S259" s="64"/>
    </row>
    <row r="260" spans="1:19" ht="84" x14ac:dyDescent="0.2">
      <c r="A260" s="63" t="s">
        <v>246</v>
      </c>
      <c r="B260" s="62" t="s">
        <v>710</v>
      </c>
      <c r="C260" s="62" t="s">
        <v>30</v>
      </c>
      <c r="D260" s="62" t="s">
        <v>616</v>
      </c>
      <c r="E260" s="62" t="s">
        <v>32</v>
      </c>
      <c r="F260" s="62" t="s">
        <v>0</v>
      </c>
      <c r="G260" s="62" t="s">
        <v>0</v>
      </c>
      <c r="H260" s="56" t="s">
        <v>0</v>
      </c>
      <c r="I260" s="64"/>
      <c r="J260" s="64"/>
      <c r="K260" s="64"/>
      <c r="L260" s="62" t="s">
        <v>248</v>
      </c>
      <c r="M260" s="65">
        <v>0</v>
      </c>
      <c r="N260" s="65">
        <v>0</v>
      </c>
      <c r="O260" s="68">
        <v>6.6</v>
      </c>
      <c r="P260" s="68">
        <v>8</v>
      </c>
      <c r="Q260" s="68">
        <v>8</v>
      </c>
      <c r="R260" s="68">
        <v>0</v>
      </c>
      <c r="S260" s="64"/>
    </row>
    <row r="261" spans="1:19" ht="84" x14ac:dyDescent="0.2">
      <c r="A261" s="63" t="s">
        <v>711</v>
      </c>
      <c r="B261" s="62" t="s">
        <v>712</v>
      </c>
      <c r="C261" s="62" t="s">
        <v>0</v>
      </c>
      <c r="D261" s="62" t="s">
        <v>0</v>
      </c>
      <c r="E261" s="62" t="s">
        <v>0</v>
      </c>
      <c r="F261" s="62" t="s">
        <v>0</v>
      </c>
      <c r="G261" s="62" t="s">
        <v>0</v>
      </c>
      <c r="H261" s="56" t="s">
        <v>0</v>
      </c>
      <c r="I261" s="64"/>
      <c r="J261" s="64"/>
      <c r="K261" s="64"/>
      <c r="L261" s="62" t="s">
        <v>619</v>
      </c>
      <c r="M261" s="65">
        <f>M262+M264</f>
        <v>678</v>
      </c>
      <c r="N261" s="65">
        <f t="shared" ref="N261:R261" si="38">N262+N264</f>
        <v>643.20000000000005</v>
      </c>
      <c r="O261" s="65">
        <f t="shared" si="38"/>
        <v>696.5</v>
      </c>
      <c r="P261" s="65">
        <f t="shared" si="38"/>
        <v>701.30000000000007</v>
      </c>
      <c r="Q261" s="65">
        <f t="shared" si="38"/>
        <v>722.9</v>
      </c>
      <c r="R261" s="65">
        <f t="shared" si="38"/>
        <v>724.5</v>
      </c>
      <c r="S261" s="64"/>
    </row>
    <row r="262" spans="1:19" ht="24" x14ac:dyDescent="0.2">
      <c r="A262" s="63" t="s">
        <v>252</v>
      </c>
      <c r="B262" s="62" t="s">
        <v>713</v>
      </c>
      <c r="C262" s="62" t="s">
        <v>0</v>
      </c>
      <c r="D262" s="62" t="s">
        <v>0</v>
      </c>
      <c r="E262" s="62" t="s">
        <v>0</v>
      </c>
      <c r="F262" s="62" t="s">
        <v>0</v>
      </c>
      <c r="G262" s="62" t="s">
        <v>0</v>
      </c>
      <c r="H262" s="56" t="s">
        <v>0</v>
      </c>
      <c r="I262" s="64"/>
      <c r="J262" s="64"/>
      <c r="K262" s="64"/>
      <c r="L262" s="62" t="s">
        <v>621</v>
      </c>
      <c r="M262" s="65">
        <f>M263</f>
        <v>676</v>
      </c>
      <c r="N262" s="65">
        <f t="shared" ref="N262:R262" si="39">N263</f>
        <v>641.70000000000005</v>
      </c>
      <c r="O262" s="65">
        <f t="shared" si="39"/>
        <v>694.4</v>
      </c>
      <c r="P262" s="65">
        <f t="shared" si="39"/>
        <v>699.2</v>
      </c>
      <c r="Q262" s="65">
        <f t="shared" si="39"/>
        <v>720.8</v>
      </c>
      <c r="R262" s="65">
        <f t="shared" si="39"/>
        <v>722.4</v>
      </c>
      <c r="S262" s="64"/>
    </row>
    <row r="263" spans="1:19" ht="409.5" x14ac:dyDescent="0.2">
      <c r="A263" s="63" t="s">
        <v>622</v>
      </c>
      <c r="B263" s="62" t="s">
        <v>714</v>
      </c>
      <c r="C263" s="62" t="s">
        <v>624</v>
      </c>
      <c r="D263" s="62" t="s">
        <v>105</v>
      </c>
      <c r="E263" s="62" t="s">
        <v>625</v>
      </c>
      <c r="F263" s="62" t="s">
        <v>626</v>
      </c>
      <c r="G263" s="62" t="s">
        <v>34</v>
      </c>
      <c r="H263" s="56" t="s">
        <v>627</v>
      </c>
      <c r="I263" s="64"/>
      <c r="J263" s="64"/>
      <c r="K263" s="64"/>
      <c r="L263" s="62" t="s">
        <v>621</v>
      </c>
      <c r="M263" s="65">
        <v>676</v>
      </c>
      <c r="N263" s="65">
        <v>641.70000000000005</v>
      </c>
      <c r="O263" s="68">
        <v>694.4</v>
      </c>
      <c r="P263" s="68">
        <v>699.2</v>
      </c>
      <c r="Q263" s="68">
        <v>720.8</v>
      </c>
      <c r="R263" s="68">
        <v>722.4</v>
      </c>
      <c r="S263" s="64"/>
    </row>
    <row r="264" spans="1:19" ht="24" x14ac:dyDescent="0.2">
      <c r="A264" s="63" t="s">
        <v>275</v>
      </c>
      <c r="B264" s="62" t="s">
        <v>715</v>
      </c>
      <c r="C264" s="62" t="s">
        <v>0</v>
      </c>
      <c r="D264" s="62" t="s">
        <v>0</v>
      </c>
      <c r="E264" s="62" t="s">
        <v>0</v>
      </c>
      <c r="F264" s="62" t="s">
        <v>0</v>
      </c>
      <c r="G264" s="62" t="s">
        <v>0</v>
      </c>
      <c r="H264" s="56" t="s">
        <v>0</v>
      </c>
      <c r="I264" s="64"/>
      <c r="J264" s="64"/>
      <c r="K264" s="64"/>
      <c r="L264" s="62" t="s">
        <v>324</v>
      </c>
      <c r="M264" s="65">
        <f>M265</f>
        <v>2</v>
      </c>
      <c r="N264" s="65">
        <f t="shared" ref="N264:R264" si="40">N265</f>
        <v>1.5</v>
      </c>
      <c r="O264" s="65">
        <f t="shared" si="40"/>
        <v>2.1</v>
      </c>
      <c r="P264" s="65">
        <f t="shared" si="40"/>
        <v>2.1</v>
      </c>
      <c r="Q264" s="65">
        <f t="shared" si="40"/>
        <v>2.1</v>
      </c>
      <c r="R264" s="65">
        <f t="shared" si="40"/>
        <v>2.1</v>
      </c>
      <c r="S264" s="64"/>
    </row>
    <row r="265" spans="1:19" ht="96" x14ac:dyDescent="0.2">
      <c r="A265" s="63" t="s">
        <v>317</v>
      </c>
      <c r="B265" s="62" t="s">
        <v>716</v>
      </c>
      <c r="C265" s="62" t="s">
        <v>0</v>
      </c>
      <c r="D265" s="62" t="s">
        <v>0</v>
      </c>
      <c r="E265" s="62" t="s">
        <v>0</v>
      </c>
      <c r="F265" s="62" t="s">
        <v>319</v>
      </c>
      <c r="G265" s="62" t="s">
        <v>630</v>
      </c>
      <c r="H265" s="56" t="s">
        <v>321</v>
      </c>
      <c r="I265" s="66"/>
      <c r="J265" s="66"/>
      <c r="K265" s="67"/>
      <c r="L265" s="62" t="s">
        <v>324</v>
      </c>
      <c r="M265" s="65">
        <v>2</v>
      </c>
      <c r="N265" s="65">
        <v>1.5</v>
      </c>
      <c r="O265" s="68">
        <v>2.1</v>
      </c>
      <c r="P265" s="68">
        <v>2.1</v>
      </c>
      <c r="Q265" s="68">
        <v>2.1</v>
      </c>
      <c r="R265" s="68">
        <v>2.1</v>
      </c>
      <c r="S265" s="64"/>
    </row>
    <row r="266" spans="1:19" ht="72" x14ac:dyDescent="0.2">
      <c r="A266" s="63" t="s">
        <v>717</v>
      </c>
      <c r="B266" s="62" t="s">
        <v>718</v>
      </c>
      <c r="C266" s="62" t="s">
        <v>0</v>
      </c>
      <c r="D266" s="62" t="s">
        <v>0</v>
      </c>
      <c r="E266" s="62" t="s">
        <v>0</v>
      </c>
      <c r="F266" s="62" t="s">
        <v>0</v>
      </c>
      <c r="G266" s="62" t="s">
        <v>0</v>
      </c>
      <c r="H266" s="56" t="s">
        <v>0</v>
      </c>
      <c r="I266" s="64"/>
      <c r="J266" s="64"/>
      <c r="K266" s="64"/>
      <c r="L266" s="62" t="s">
        <v>324</v>
      </c>
      <c r="M266" s="65">
        <f>M267</f>
        <v>44.8</v>
      </c>
      <c r="N266" s="65">
        <f t="shared" ref="N266:R268" si="41">N267</f>
        <v>44.8</v>
      </c>
      <c r="O266" s="65">
        <f t="shared" si="41"/>
        <v>46.4</v>
      </c>
      <c r="P266" s="65">
        <f t="shared" si="41"/>
        <v>49.6</v>
      </c>
      <c r="Q266" s="65">
        <f t="shared" si="41"/>
        <v>52</v>
      </c>
      <c r="R266" s="65">
        <f t="shared" si="41"/>
        <v>54.4</v>
      </c>
      <c r="S266" s="64"/>
    </row>
    <row r="267" spans="1:19" x14ac:dyDescent="0.2">
      <c r="A267" s="63" t="s">
        <v>391</v>
      </c>
      <c r="B267" s="62" t="s">
        <v>719</v>
      </c>
      <c r="C267" s="62" t="s">
        <v>0</v>
      </c>
      <c r="D267" s="62" t="s">
        <v>0</v>
      </c>
      <c r="E267" s="62" t="s">
        <v>0</v>
      </c>
      <c r="F267" s="62" t="s">
        <v>0</v>
      </c>
      <c r="G267" s="62" t="s">
        <v>0</v>
      </c>
      <c r="H267" s="56" t="s">
        <v>0</v>
      </c>
      <c r="I267" s="64"/>
      <c r="J267" s="64"/>
      <c r="K267" s="64"/>
      <c r="L267" s="62" t="s">
        <v>324</v>
      </c>
      <c r="M267" s="65">
        <f>M268</f>
        <v>44.8</v>
      </c>
      <c r="N267" s="65">
        <f t="shared" si="41"/>
        <v>44.8</v>
      </c>
      <c r="O267" s="65">
        <f t="shared" si="41"/>
        <v>46.4</v>
      </c>
      <c r="P267" s="65">
        <f t="shared" si="41"/>
        <v>49.6</v>
      </c>
      <c r="Q267" s="65">
        <f t="shared" si="41"/>
        <v>52</v>
      </c>
      <c r="R267" s="65">
        <f t="shared" si="41"/>
        <v>54.4</v>
      </c>
      <c r="S267" s="64"/>
    </row>
    <row r="268" spans="1:19" ht="60" x14ac:dyDescent="0.2">
      <c r="A268" s="63" t="s">
        <v>720</v>
      </c>
      <c r="B268" s="62" t="s">
        <v>721</v>
      </c>
      <c r="C268" s="62" t="s">
        <v>0</v>
      </c>
      <c r="D268" s="62" t="s">
        <v>0</v>
      </c>
      <c r="E268" s="62" t="s">
        <v>0</v>
      </c>
      <c r="F268" s="62" t="s">
        <v>0</v>
      </c>
      <c r="G268" s="62" t="s">
        <v>0</v>
      </c>
      <c r="H268" s="56" t="s">
        <v>0</v>
      </c>
      <c r="I268" s="64"/>
      <c r="J268" s="64"/>
      <c r="K268" s="64"/>
      <c r="L268" s="62" t="s">
        <v>324</v>
      </c>
      <c r="M268" s="65">
        <f>M269</f>
        <v>44.8</v>
      </c>
      <c r="N268" s="65">
        <f t="shared" si="41"/>
        <v>44.8</v>
      </c>
      <c r="O268" s="65">
        <f t="shared" si="41"/>
        <v>46.4</v>
      </c>
      <c r="P268" s="65">
        <f t="shared" si="41"/>
        <v>49.6</v>
      </c>
      <c r="Q268" s="65">
        <f t="shared" si="41"/>
        <v>52</v>
      </c>
      <c r="R268" s="65">
        <f t="shared" si="41"/>
        <v>54.4</v>
      </c>
      <c r="S268" s="64"/>
    </row>
    <row r="269" spans="1:19" ht="84" x14ac:dyDescent="0.2">
      <c r="A269" s="63" t="s">
        <v>722</v>
      </c>
      <c r="B269" s="62" t="s">
        <v>723</v>
      </c>
      <c r="C269" s="62" t="s">
        <v>30</v>
      </c>
      <c r="D269" s="62" t="s">
        <v>156</v>
      </c>
      <c r="E269" s="62" t="s">
        <v>32</v>
      </c>
      <c r="F269" s="62" t="s">
        <v>388</v>
      </c>
      <c r="G269" s="62" t="s">
        <v>395</v>
      </c>
      <c r="H269" s="56" t="s">
        <v>389</v>
      </c>
      <c r="I269" s="66"/>
      <c r="J269" s="66"/>
      <c r="K269" s="67"/>
      <c r="L269" s="62" t="s">
        <v>324</v>
      </c>
      <c r="M269" s="65">
        <v>44.8</v>
      </c>
      <c r="N269" s="65">
        <v>44.8</v>
      </c>
      <c r="O269" s="68">
        <v>46.4</v>
      </c>
      <c r="P269" s="68">
        <v>49.6</v>
      </c>
      <c r="Q269" s="68">
        <v>52</v>
      </c>
      <c r="R269" s="68">
        <v>54.4</v>
      </c>
      <c r="S269" s="64"/>
    </row>
    <row r="270" spans="1:19" ht="36" x14ac:dyDescent="0.2">
      <c r="A270" s="63" t="s">
        <v>724</v>
      </c>
      <c r="B270" s="62" t="s">
        <v>725</v>
      </c>
      <c r="C270" s="62" t="s">
        <v>0</v>
      </c>
      <c r="D270" s="62" t="s">
        <v>0</v>
      </c>
      <c r="E270" s="62" t="s">
        <v>0</v>
      </c>
      <c r="F270" s="62" t="s">
        <v>0</v>
      </c>
      <c r="G270" s="62" t="s">
        <v>0</v>
      </c>
      <c r="H270" s="56" t="s">
        <v>0</v>
      </c>
      <c r="I270" s="64"/>
      <c r="J270" s="64"/>
      <c r="K270" s="64"/>
      <c r="L270" s="62" t="s">
        <v>403</v>
      </c>
      <c r="M270" s="65">
        <v>0</v>
      </c>
      <c r="N270" s="65">
        <v>0</v>
      </c>
      <c r="O270" s="68">
        <v>0</v>
      </c>
      <c r="P270" s="68">
        <v>16</v>
      </c>
      <c r="Q270" s="68">
        <v>33.200000000000003</v>
      </c>
      <c r="R270" s="68">
        <f>O270*1.04</f>
        <v>0</v>
      </c>
      <c r="S270" s="64"/>
    </row>
    <row r="271" spans="1:19" x14ac:dyDescent="0.2">
      <c r="A271" s="5"/>
      <c r="B271" s="6"/>
      <c r="C271" s="6"/>
      <c r="D271" s="6"/>
      <c r="E271" s="6"/>
      <c r="F271" s="6"/>
      <c r="G271" s="6"/>
      <c r="H271" s="6"/>
      <c r="I271" s="6"/>
      <c r="J271" s="6"/>
      <c r="K271" s="6"/>
      <c r="L271" s="6"/>
      <c r="M271" s="7"/>
      <c r="N271" s="7"/>
      <c r="O271" s="7"/>
      <c r="P271" s="7"/>
      <c r="Q271" s="7"/>
      <c r="R271" s="7"/>
      <c r="S271" s="7"/>
    </row>
    <row r="273" spans="1:14" x14ac:dyDescent="0.2">
      <c r="A273" s="4"/>
      <c r="C273" s="98" t="s">
        <v>427</v>
      </c>
      <c r="D273" s="98"/>
      <c r="E273" s="98"/>
      <c r="F273" s="98"/>
      <c r="G273" s="98"/>
      <c r="H273" s="4"/>
      <c r="I273" s="99"/>
      <c r="J273" s="99"/>
      <c r="L273" s="100" t="s">
        <v>430</v>
      </c>
      <c r="M273" s="101"/>
      <c r="N273" s="101"/>
    </row>
    <row r="274" spans="1:14" x14ac:dyDescent="0.2">
      <c r="I274" s="97" t="s">
        <v>428</v>
      </c>
      <c r="J274" s="97"/>
      <c r="L274" s="97" t="s">
        <v>429</v>
      </c>
      <c r="M274" s="97"/>
      <c r="N274" s="97"/>
    </row>
    <row r="275" spans="1:14" x14ac:dyDescent="0.2">
      <c r="I275" s="11"/>
      <c r="J275" s="11"/>
      <c r="L275" s="11"/>
      <c r="M275" s="11"/>
      <c r="N275" s="11"/>
    </row>
    <row r="277" spans="1:14" x14ac:dyDescent="0.2">
      <c r="A277" s="4" t="s">
        <v>431</v>
      </c>
      <c r="C277" s="98" t="s">
        <v>432</v>
      </c>
      <c r="D277" s="102"/>
      <c r="E277" s="102"/>
      <c r="F277" s="102"/>
      <c r="G277" s="102"/>
      <c r="I277" s="99"/>
      <c r="J277" s="99"/>
      <c r="L277" s="100" t="s">
        <v>433</v>
      </c>
      <c r="M277" s="101"/>
      <c r="N277" s="101"/>
    </row>
    <row r="278" spans="1:14" x14ac:dyDescent="0.2">
      <c r="I278" s="97" t="s">
        <v>428</v>
      </c>
      <c r="J278" s="97"/>
      <c r="L278" s="97" t="s">
        <v>429</v>
      </c>
      <c r="M278" s="97"/>
      <c r="N278" s="97"/>
    </row>
    <row r="279" spans="1:14" x14ac:dyDescent="0.2">
      <c r="A279" s="4" t="s">
        <v>726</v>
      </c>
    </row>
  </sheetData>
  <autoFilter ref="A1:S165" xr:uid="{849536E7-08C9-4C7C-8F75-CA1292DD4D75}"/>
  <mergeCells count="268">
    <mergeCell ref="A195:A196"/>
    <mergeCell ref="B195:B196"/>
    <mergeCell ref="A197:A198"/>
    <mergeCell ref="B197:B198"/>
    <mergeCell ref="A199:A200"/>
    <mergeCell ref="B199:B200"/>
    <mergeCell ref="A201:A202"/>
    <mergeCell ref="B201:B202"/>
    <mergeCell ref="A203:A204"/>
    <mergeCell ref="B203:B204"/>
    <mergeCell ref="A181:A182"/>
    <mergeCell ref="B181:B182"/>
    <mergeCell ref="A183:A184"/>
    <mergeCell ref="B183:B184"/>
    <mergeCell ref="A187:A188"/>
    <mergeCell ref="B187:B188"/>
    <mergeCell ref="A189:A190"/>
    <mergeCell ref="B189:B190"/>
    <mergeCell ref="A193:A194"/>
    <mergeCell ref="B193:B194"/>
    <mergeCell ref="A169:A170"/>
    <mergeCell ref="B169:B170"/>
    <mergeCell ref="A171:A174"/>
    <mergeCell ref="B171:B174"/>
    <mergeCell ref="A175:A176"/>
    <mergeCell ref="B175:B176"/>
    <mergeCell ref="A177:A178"/>
    <mergeCell ref="B177:B178"/>
    <mergeCell ref="A179:A180"/>
    <mergeCell ref="B179:B180"/>
    <mergeCell ref="J96:J97"/>
    <mergeCell ref="K96:K97"/>
    <mergeCell ref="I98:I99"/>
    <mergeCell ref="J98:J99"/>
    <mergeCell ref="K98:K99"/>
    <mergeCell ref="C88:C89"/>
    <mergeCell ref="D88:D89"/>
    <mergeCell ref="E88:E89"/>
    <mergeCell ref="F88:F89"/>
    <mergeCell ref="G88:G89"/>
    <mergeCell ref="H88:H89"/>
    <mergeCell ref="C84:C85"/>
    <mergeCell ref="D84:D85"/>
    <mergeCell ref="E84:E85"/>
    <mergeCell ref="F84:F85"/>
    <mergeCell ref="G84:G85"/>
    <mergeCell ref="H84:H85"/>
    <mergeCell ref="A86:A89"/>
    <mergeCell ref="B86:B89"/>
    <mergeCell ref="I96:I97"/>
    <mergeCell ref="S68:S69"/>
    <mergeCell ref="F68:F69"/>
    <mergeCell ref="G68:G69"/>
    <mergeCell ref="H68:H69"/>
    <mergeCell ref="A70:A72"/>
    <mergeCell ref="B70:B72"/>
    <mergeCell ref="C70:C72"/>
    <mergeCell ref="D70:D72"/>
    <mergeCell ref="E70:E72"/>
    <mergeCell ref="F70:F72"/>
    <mergeCell ref="G70:G72"/>
    <mergeCell ref="H70:H72"/>
    <mergeCell ref="Q68:Q69"/>
    <mergeCell ref="I68:I69"/>
    <mergeCell ref="J68:J69"/>
    <mergeCell ref="K68:K69"/>
    <mergeCell ref="L68:L69"/>
    <mergeCell ref="M68:M69"/>
    <mergeCell ref="N68:N69"/>
    <mergeCell ref="O68:O69"/>
    <mergeCell ref="P68:P69"/>
    <mergeCell ref="R68:R69"/>
    <mergeCell ref="O63:O64"/>
    <mergeCell ref="P63:P64"/>
    <mergeCell ref="R63:R64"/>
    <mergeCell ref="S63:S64"/>
    <mergeCell ref="F65:F66"/>
    <mergeCell ref="G65:G66"/>
    <mergeCell ref="H65:H66"/>
    <mergeCell ref="I65:I66"/>
    <mergeCell ref="J65:J66"/>
    <mergeCell ref="K65:K66"/>
    <mergeCell ref="L65:L66"/>
    <mergeCell ref="M65:M66"/>
    <mergeCell ref="N65:N66"/>
    <mergeCell ref="O65:O66"/>
    <mergeCell ref="P65:P66"/>
    <mergeCell ref="R65:R66"/>
    <mergeCell ref="S65:S66"/>
    <mergeCell ref="Q63:Q64"/>
    <mergeCell ref="Q65:Q66"/>
    <mergeCell ref="F63:F64"/>
    <mergeCell ref="G63:G64"/>
    <mergeCell ref="H63:H64"/>
    <mergeCell ref="I63:I64"/>
    <mergeCell ref="J63:J64"/>
    <mergeCell ref="K63:K64"/>
    <mergeCell ref="L63:L64"/>
    <mergeCell ref="M63:M64"/>
    <mergeCell ref="N63:N64"/>
    <mergeCell ref="A2:S2"/>
    <mergeCell ref="A3:S3"/>
    <mergeCell ref="A4:S4"/>
    <mergeCell ref="A5:A8"/>
    <mergeCell ref="B5:B8"/>
    <mergeCell ref="C5:K5"/>
    <mergeCell ref="L5:L7"/>
    <mergeCell ref="M5:R5"/>
    <mergeCell ref="S5:S8"/>
    <mergeCell ref="C6:K6"/>
    <mergeCell ref="P7:P8"/>
    <mergeCell ref="O7:O8"/>
    <mergeCell ref="Q6:R6"/>
    <mergeCell ref="A13:A15"/>
    <mergeCell ref="B13:B15"/>
    <mergeCell ref="A16:A17"/>
    <mergeCell ref="B16:B17"/>
    <mergeCell ref="M6:N6"/>
    <mergeCell ref="C7:E7"/>
    <mergeCell ref="F7:H7"/>
    <mergeCell ref="I7:K7"/>
    <mergeCell ref="M7:N7"/>
    <mergeCell ref="L14:L15"/>
    <mergeCell ref="M14:M15"/>
    <mergeCell ref="N14:N15"/>
    <mergeCell ref="A32:A37"/>
    <mergeCell ref="B32:B37"/>
    <mergeCell ref="A19:A24"/>
    <mergeCell ref="B19:B24"/>
    <mergeCell ref="C21:C24"/>
    <mergeCell ref="D21:D24"/>
    <mergeCell ref="E21:E24"/>
    <mergeCell ref="F21:F24"/>
    <mergeCell ref="G21:G24"/>
    <mergeCell ref="H21:H24"/>
    <mergeCell ref="A38:A40"/>
    <mergeCell ref="B38:B40"/>
    <mergeCell ref="A41:A43"/>
    <mergeCell ref="A25:A29"/>
    <mergeCell ref="B25:B29"/>
    <mergeCell ref="A30:A31"/>
    <mergeCell ref="B30:B31"/>
    <mergeCell ref="B41:B43"/>
    <mergeCell ref="A55:A58"/>
    <mergeCell ref="B55:B58"/>
    <mergeCell ref="A60:A61"/>
    <mergeCell ref="B60:B61"/>
    <mergeCell ref="A62:A66"/>
    <mergeCell ref="B62:B66"/>
    <mergeCell ref="A44:A46"/>
    <mergeCell ref="B44:B46"/>
    <mergeCell ref="A52:A54"/>
    <mergeCell ref="B52:B54"/>
    <mergeCell ref="A90:A91"/>
    <mergeCell ref="B90:B91"/>
    <mergeCell ref="A79:A81"/>
    <mergeCell ref="B79:B81"/>
    <mergeCell ref="A67:A69"/>
    <mergeCell ref="B67:B69"/>
    <mergeCell ref="A73:A75"/>
    <mergeCell ref="B73:B75"/>
    <mergeCell ref="A77:A78"/>
    <mergeCell ref="B77:B78"/>
    <mergeCell ref="A83:A85"/>
    <mergeCell ref="B83:B85"/>
    <mergeCell ref="A102:A103"/>
    <mergeCell ref="B102:B103"/>
    <mergeCell ref="A104:A105"/>
    <mergeCell ref="B104:B105"/>
    <mergeCell ref="A106:A107"/>
    <mergeCell ref="B106:B107"/>
    <mergeCell ref="A92:A95"/>
    <mergeCell ref="B92:B95"/>
    <mergeCell ref="A100:A101"/>
    <mergeCell ref="B100:B101"/>
    <mergeCell ref="A96:A97"/>
    <mergeCell ref="B96:B97"/>
    <mergeCell ref="A98:A99"/>
    <mergeCell ref="B98:B99"/>
    <mergeCell ref="A139:A140"/>
    <mergeCell ref="B139:B140"/>
    <mergeCell ref="A128:A129"/>
    <mergeCell ref="B128:B129"/>
    <mergeCell ref="A131:A134"/>
    <mergeCell ref="B131:B134"/>
    <mergeCell ref="A136:A138"/>
    <mergeCell ref="B136:B138"/>
    <mergeCell ref="A108:A109"/>
    <mergeCell ref="B108:B109"/>
    <mergeCell ref="A112:A113"/>
    <mergeCell ref="B112:B113"/>
    <mergeCell ref="A123:A124"/>
    <mergeCell ref="B123:B124"/>
    <mergeCell ref="I278:J278"/>
    <mergeCell ref="L278:N278"/>
    <mergeCell ref="C273:G273"/>
    <mergeCell ref="I273:J273"/>
    <mergeCell ref="L273:N273"/>
    <mergeCell ref="I274:J274"/>
    <mergeCell ref="L274:N274"/>
    <mergeCell ref="C277:G277"/>
    <mergeCell ref="I277:J277"/>
    <mergeCell ref="L277:N277"/>
    <mergeCell ref="O14:O15"/>
    <mergeCell ref="P14:P15"/>
    <mergeCell ref="R14:R15"/>
    <mergeCell ref="S14:S15"/>
    <mergeCell ref="C33:C37"/>
    <mergeCell ref="D33:D37"/>
    <mergeCell ref="E33:E37"/>
    <mergeCell ref="F33:F37"/>
    <mergeCell ref="G33:G37"/>
    <mergeCell ref="H33:H37"/>
    <mergeCell ref="Q14:Q15"/>
    <mergeCell ref="C26:C29"/>
    <mergeCell ref="D26:D29"/>
    <mergeCell ref="E26:E29"/>
    <mergeCell ref="F26:F29"/>
    <mergeCell ref="G26:G29"/>
    <mergeCell ref="H26:H29"/>
    <mergeCell ref="H42:H43"/>
    <mergeCell ref="A47:A51"/>
    <mergeCell ref="B47:B51"/>
    <mergeCell ref="C50:C51"/>
    <mergeCell ref="D50:D51"/>
    <mergeCell ref="E50:E51"/>
    <mergeCell ref="F50:F51"/>
    <mergeCell ref="G50:G51"/>
    <mergeCell ref="H50:H51"/>
    <mergeCell ref="C45:C46"/>
    <mergeCell ref="D45:D46"/>
    <mergeCell ref="E45:E46"/>
    <mergeCell ref="F45:F46"/>
    <mergeCell ref="G45:G46"/>
    <mergeCell ref="H45:H46"/>
    <mergeCell ref="C42:C43"/>
    <mergeCell ref="D42:D43"/>
    <mergeCell ref="E42:E43"/>
    <mergeCell ref="F42:F43"/>
    <mergeCell ref="G42:G43"/>
    <mergeCell ref="A223:A224"/>
    <mergeCell ref="B223:B224"/>
    <mergeCell ref="A231:A232"/>
    <mergeCell ref="B231:B232"/>
    <mergeCell ref="A233:A234"/>
    <mergeCell ref="B233:B234"/>
    <mergeCell ref="A235:A236"/>
    <mergeCell ref="B235:B236"/>
    <mergeCell ref="A237:A238"/>
    <mergeCell ref="B237:B238"/>
    <mergeCell ref="A250:A251"/>
    <mergeCell ref="B250:B251"/>
    <mergeCell ref="A252:A253"/>
    <mergeCell ref="B252:B253"/>
    <mergeCell ref="A254:A255"/>
    <mergeCell ref="B254:B255"/>
    <mergeCell ref="A256:A257"/>
    <mergeCell ref="B256:B257"/>
    <mergeCell ref="A239:A240"/>
    <mergeCell ref="B239:B240"/>
    <mergeCell ref="A241:A242"/>
    <mergeCell ref="B241:B242"/>
    <mergeCell ref="A243:A244"/>
    <mergeCell ref="B243:B244"/>
    <mergeCell ref="A245:A246"/>
    <mergeCell ref="B245:B246"/>
    <mergeCell ref="A248:A249"/>
    <mergeCell ref="B248:B249"/>
  </mergeCells>
  <pageMargins left="0.31496062992125984" right="0.31496062992125984" top="0.15748031496062992" bottom="0.15748031496062992" header="0.31496062992125984" footer="0.31496062992125984"/>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Муниципальный район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2021-04-30T08:19:17Z</dcterms:modified>
</cp:coreProperties>
</file>